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harts/chart3.xml" ContentType="application/vnd.openxmlformats-officedocument.drawingml.chart+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60" yWindow="36" windowWidth="11340" windowHeight="6048" tabRatio="772"/>
  </bookViews>
  <sheets>
    <sheet name="15-17,2GraphBarter" sheetId="7" r:id="rId1"/>
    <sheet name="18allocations" sheetId="6" r:id="rId2"/>
    <sheet name="19-20,EdgeBarter" sheetId="5" r:id="rId3"/>
    <sheet name="data" sheetId="1" r:id="rId4"/>
  </sheets>
  <calcPr calcId="152511"/>
</workbook>
</file>

<file path=xl/calcChain.xml><?xml version="1.0" encoding="utf-8"?>
<calcChain xmlns="http://schemas.openxmlformats.org/spreadsheetml/2006/main">
  <c r="F49" i="7" l="1"/>
  <c r="F51" i="7" s="1"/>
  <c r="H49" i="7"/>
  <c r="J49" i="7"/>
  <c r="W37" i="1"/>
  <c r="W39" i="1" s="1"/>
  <c r="F55" i="7" s="1"/>
  <c r="S37" i="1"/>
  <c r="S39" i="1" s="1"/>
  <c r="Q37" i="1"/>
  <c r="Q40" i="1" s="1"/>
  <c r="B45" i="1"/>
  <c r="B44" i="1"/>
  <c r="E37" i="1"/>
  <c r="O19" i="6"/>
  <c r="C37" i="1"/>
  <c r="C40" i="1" s="1"/>
  <c r="I3" i="1"/>
  <c r="G23" i="7"/>
  <c r="F4" i="1"/>
  <c r="E4" i="1"/>
  <c r="I4" i="1"/>
  <c r="L59" i="7"/>
  <c r="J59" i="7"/>
  <c r="J60" i="7"/>
  <c r="B60" i="7"/>
  <c r="D60" i="7"/>
  <c r="F60" i="7"/>
  <c r="H60" i="7"/>
  <c r="H62" i="7"/>
  <c r="L60" i="7"/>
  <c r="L62" i="7"/>
  <c r="D62" i="7"/>
  <c r="E62" i="7"/>
  <c r="G62" i="7"/>
  <c r="K62" i="7"/>
  <c r="G63" i="7"/>
  <c r="K63" i="7"/>
  <c r="B49" i="7"/>
  <c r="B52" i="7"/>
  <c r="D49" i="7"/>
  <c r="H52" i="7"/>
  <c r="L49" i="7"/>
  <c r="L52" i="7"/>
  <c r="B51" i="7"/>
  <c r="D51" i="7"/>
  <c r="H51" i="7"/>
  <c r="I51" i="7"/>
  <c r="J51" i="7"/>
  <c r="L51" i="7"/>
  <c r="A52" i="7"/>
  <c r="D52" i="7"/>
  <c r="E52" i="7"/>
  <c r="I52" i="7"/>
  <c r="J52" i="7"/>
  <c r="K52" i="7"/>
  <c r="A53" i="7"/>
  <c r="B53" i="7"/>
  <c r="D53" i="7"/>
  <c r="K53" i="7"/>
  <c r="L53" i="7"/>
  <c r="A54" i="7"/>
  <c r="C54" i="7"/>
  <c r="K54" i="7"/>
  <c r="A55" i="7"/>
  <c r="V39" i="1"/>
  <c r="K55" i="7"/>
  <c r="L1" i="7"/>
  <c r="D1" i="7"/>
  <c r="F23" i="7"/>
  <c r="E23" i="7"/>
  <c r="N23" i="7"/>
  <c r="M23" i="7"/>
  <c r="P5" i="1"/>
  <c r="H4" i="1"/>
  <c r="O5" i="1"/>
  <c r="O3" i="1"/>
  <c r="O4" i="1" s="1"/>
  <c r="H3" i="1"/>
  <c r="B27" i="6"/>
  <c r="J1" i="6"/>
  <c r="E9" i="6"/>
  <c r="D9" i="6"/>
  <c r="B20" i="6"/>
  <c r="C33" i="6"/>
  <c r="D29" i="6"/>
  <c r="D33" i="6"/>
  <c r="D32" i="6"/>
  <c r="C31" i="6"/>
  <c r="C32" i="6"/>
  <c r="B29" i="6"/>
  <c r="B32" i="6"/>
  <c r="B31" i="6"/>
  <c r="A33" i="6"/>
  <c r="A32" i="6"/>
  <c r="E10" i="6"/>
  <c r="D10" i="6"/>
  <c r="O18" i="6"/>
  <c r="L3" i="5"/>
  <c r="G5" i="5"/>
  <c r="B14" i="5"/>
  <c r="E5" i="5"/>
  <c r="F21" i="5"/>
  <c r="G20" i="5"/>
  <c r="B20" i="5"/>
  <c r="B17" i="5"/>
  <c r="A22" i="5"/>
  <c r="F7" i="5"/>
  <c r="F6" i="5"/>
  <c r="F5" i="5"/>
  <c r="E7" i="5"/>
  <c r="E6" i="5"/>
  <c r="D17" i="5"/>
  <c r="B27" i="5"/>
  <c r="F17" i="5"/>
  <c r="C16" i="5"/>
  <c r="E24" i="5"/>
  <c r="Q25" i="5"/>
  <c r="Q5" i="5"/>
  <c r="F12" i="5"/>
  <c r="N11" i="1"/>
  <c r="N12" i="5" s="1"/>
  <c r="E11" i="1"/>
  <c r="M11" i="1"/>
  <c r="AA14" i="1"/>
  <c r="Z12" i="1"/>
  <c r="AD15" i="1"/>
  <c r="AB15" i="1"/>
  <c r="V57" i="1"/>
  <c r="AE3" i="1"/>
  <c r="Z25" i="1"/>
  <c r="Y20" i="1"/>
  <c r="AD19" i="1"/>
  <c r="AE18" i="1"/>
  <c r="Z18" i="1"/>
  <c r="U37" i="1"/>
  <c r="I11" i="1"/>
  <c r="C8" i="1"/>
  <c r="B16" i="1"/>
  <c r="B17" i="1"/>
  <c r="K11" i="1"/>
  <c r="K14" i="1"/>
  <c r="AC22" i="1"/>
  <c r="AD5" i="1"/>
  <c r="AC5" i="1"/>
  <c r="AD4" i="1"/>
  <c r="AC4" i="1"/>
  <c r="AD3" i="1"/>
  <c r="AC3" i="1"/>
  <c r="T40" i="1"/>
  <c r="K37" i="1"/>
  <c r="K43" i="1" s="1"/>
  <c r="I37" i="1"/>
  <c r="I40" i="1" s="1"/>
  <c r="C11" i="1"/>
  <c r="C17" i="1" s="1"/>
  <c r="S40" i="1"/>
  <c r="R40" i="1"/>
  <c r="R39" i="1"/>
  <c r="H11" i="1"/>
  <c r="H24" i="1" s="1"/>
  <c r="F11" i="1"/>
  <c r="F16" i="1" s="1"/>
  <c r="P40" i="1"/>
  <c r="K42" i="1"/>
  <c r="K13" i="1"/>
  <c r="C16" i="1"/>
  <c r="J43" i="1"/>
  <c r="J42" i="1"/>
  <c r="J39" i="1"/>
  <c r="J41" i="1"/>
  <c r="J40" i="1"/>
  <c r="H41" i="1"/>
  <c r="H42" i="1"/>
  <c r="H43" i="1"/>
  <c r="H40" i="1"/>
  <c r="D42" i="1"/>
  <c r="D43" i="1"/>
  <c r="D41" i="1"/>
  <c r="D40" i="1"/>
  <c r="D39" i="1"/>
  <c r="I39" i="1"/>
  <c r="H16" i="1"/>
  <c r="D31" i="6"/>
  <c r="F29" i="7"/>
  <c r="E25" i="7"/>
  <c r="C55" i="7"/>
  <c r="C53" i="7"/>
  <c r="G52" i="7"/>
  <c r="C52" i="7"/>
  <c r="I63" i="7"/>
  <c r="C62" i="7"/>
  <c r="E55" i="7"/>
  <c r="K15" i="1"/>
  <c r="K16" i="1"/>
  <c r="C44" i="1"/>
  <c r="C45" i="1"/>
  <c r="E41" i="1"/>
  <c r="Q4" i="5"/>
  <c r="O3" i="6"/>
  <c r="E42" i="1"/>
  <c r="E43" i="1"/>
  <c r="E39" i="1"/>
  <c r="E40" i="1"/>
  <c r="Q3" i="5"/>
  <c r="I6" i="5"/>
  <c r="O1" i="6"/>
  <c r="B18" i="1"/>
  <c r="K17" i="1"/>
  <c r="H17" i="1"/>
  <c r="G6" i="5"/>
  <c r="AE4" i="1"/>
  <c r="Z7" i="1"/>
  <c r="O23" i="7"/>
  <c r="B9" i="5"/>
  <c r="I41" i="1"/>
  <c r="O2" i="6"/>
  <c r="F5" i="6"/>
  <c r="F18" i="1"/>
  <c r="K18" i="1"/>
  <c r="B19" i="1"/>
  <c r="C18" i="1"/>
  <c r="H19" i="1"/>
  <c r="B20" i="1"/>
  <c r="K19" i="1"/>
  <c r="B21" i="1"/>
  <c r="K20" i="1"/>
  <c r="H20" i="1"/>
  <c r="H21" i="1"/>
  <c r="B22" i="1"/>
  <c r="K21" i="1"/>
  <c r="C21" i="1"/>
  <c r="F21" i="1"/>
  <c r="K22" i="1"/>
  <c r="B23" i="1"/>
  <c r="H22" i="1"/>
  <c r="B24" i="1"/>
  <c r="K23" i="1"/>
  <c r="H23" i="1"/>
  <c r="B25" i="1"/>
  <c r="C24" i="1"/>
  <c r="K24" i="1"/>
  <c r="F25" i="1"/>
  <c r="B26" i="1"/>
  <c r="K25" i="1"/>
  <c r="C25" i="1"/>
  <c r="K26" i="1"/>
  <c r="H26" i="1"/>
  <c r="B27" i="1"/>
  <c r="C26" i="1"/>
  <c r="H27" i="1"/>
  <c r="B28" i="1"/>
  <c r="K27" i="1"/>
  <c r="H28" i="1"/>
  <c r="B29" i="1"/>
  <c r="K28" i="1"/>
  <c r="C29" i="1"/>
  <c r="B30" i="1"/>
  <c r="K29" i="1"/>
  <c r="B31" i="1"/>
  <c r="C30" i="1"/>
  <c r="H30" i="1"/>
  <c r="K30" i="1"/>
  <c r="B32" i="1"/>
  <c r="K31" i="1"/>
  <c r="F31" i="1"/>
  <c r="B33" i="1"/>
  <c r="B34" i="1"/>
  <c r="C34" i="1"/>
  <c r="M3" i="5" l="1"/>
  <c r="N16" i="1"/>
  <c r="N25" i="1"/>
  <c r="N22" i="1"/>
  <c r="F33" i="1"/>
  <c r="N28" i="1"/>
  <c r="F26" i="1"/>
  <c r="F22" i="1"/>
  <c r="F20" i="1"/>
  <c r="P15" i="6"/>
  <c r="C42" i="1"/>
  <c r="K41" i="1"/>
  <c r="C33" i="1"/>
  <c r="H32" i="1"/>
  <c r="F32" i="1"/>
  <c r="H31" i="1"/>
  <c r="F30" i="1"/>
  <c r="F29" i="1"/>
  <c r="C28" i="1"/>
  <c r="F28" i="1"/>
  <c r="F27" i="1"/>
  <c r="F24" i="1"/>
  <c r="N24" i="1"/>
  <c r="C23" i="1"/>
  <c r="C20" i="1"/>
  <c r="F19" i="1"/>
  <c r="H18" i="1"/>
  <c r="N17" i="1"/>
  <c r="F17" i="1"/>
  <c r="C41" i="1"/>
  <c r="J4" i="5"/>
  <c r="H3" i="6"/>
  <c r="K40" i="1"/>
  <c r="M15" i="5"/>
  <c r="F34" i="1"/>
  <c r="N32" i="1"/>
  <c r="N31" i="1"/>
  <c r="N23" i="1"/>
  <c r="N18" i="1"/>
  <c r="C39" i="1"/>
  <c r="Q22" i="5"/>
  <c r="K39" i="1"/>
  <c r="H34" i="1"/>
  <c r="H33" i="1"/>
  <c r="C32" i="1"/>
  <c r="C31" i="1"/>
  <c r="N30" i="1"/>
  <c r="H29" i="1"/>
  <c r="N29" i="1"/>
  <c r="C27" i="1"/>
  <c r="N27" i="1"/>
  <c r="N26" i="1"/>
  <c r="H25" i="1"/>
  <c r="F23" i="1"/>
  <c r="C22" i="1"/>
  <c r="N21" i="1"/>
  <c r="N20" i="1"/>
  <c r="C19" i="1"/>
  <c r="N19" i="1"/>
  <c r="G18" i="6"/>
  <c r="C43" i="1"/>
  <c r="I26" i="5"/>
  <c r="V52" i="1"/>
  <c r="N15" i="1"/>
  <c r="V40" i="1"/>
  <c r="T39" i="1"/>
  <c r="AE10" i="1"/>
  <c r="P3" i="1"/>
  <c r="Q3" i="1" s="1"/>
  <c r="B16" i="5" s="1"/>
  <c r="B29" i="7"/>
  <c r="P4" i="1"/>
  <c r="C63" i="7"/>
  <c r="M25" i="7"/>
  <c r="A62" i="7"/>
  <c r="B12" i="5"/>
  <c r="A63" i="7"/>
  <c r="I62" i="7"/>
  <c r="E25" i="5"/>
  <c r="AC23" i="1"/>
  <c r="Z10" i="1"/>
  <c r="E63" i="7"/>
  <c r="Q39" i="1"/>
  <c r="F52" i="7"/>
  <c r="Z14" i="1" l="1"/>
  <c r="AC15" i="1"/>
  <c r="E17" i="5"/>
  <c r="E56" i="7"/>
  <c r="W40" i="1"/>
  <c r="Q4" i="1"/>
  <c r="W41" i="1"/>
  <c r="R3" i="1"/>
  <c r="F62" i="7" l="1"/>
  <c r="F63" i="7"/>
  <c r="F24" i="5"/>
  <c r="T3" i="1"/>
  <c r="AD22" i="1"/>
  <c r="R4" i="1"/>
  <c r="S3" i="1"/>
  <c r="H63" i="7"/>
  <c r="F25" i="7"/>
  <c r="D63" i="7"/>
  <c r="F56" i="7" s="1"/>
  <c r="G17" i="5"/>
  <c r="AE15" i="1"/>
  <c r="G14" i="5"/>
  <c r="AE12" i="1"/>
  <c r="U40" i="1"/>
  <c r="B62" i="7"/>
  <c r="U39" i="1"/>
  <c r="B63" i="7"/>
  <c r="G21" i="5"/>
  <c r="AE19" i="1"/>
  <c r="O29" i="7"/>
  <c r="E20" i="1" l="1"/>
  <c r="E23" i="1"/>
  <c r="E27" i="1"/>
  <c r="E31" i="1"/>
  <c r="E32" i="1"/>
  <c r="E29" i="1"/>
  <c r="E33" i="1"/>
  <c r="E26" i="1"/>
  <c r="E30" i="1"/>
  <c r="E34" i="1"/>
  <c r="E17" i="1"/>
  <c r="E22" i="1"/>
  <c r="E24" i="1"/>
  <c r="E28" i="1"/>
  <c r="E16" i="1"/>
  <c r="E18" i="1"/>
  <c r="E21" i="1"/>
  <c r="E25" i="1"/>
  <c r="E19" i="1"/>
  <c r="N25" i="7"/>
  <c r="J63" i="7"/>
  <c r="AD23" i="1"/>
  <c r="L63" i="7"/>
  <c r="J62" i="7"/>
  <c r="F25" i="5"/>
  <c r="T4" i="1"/>
  <c r="S4" i="1"/>
  <c r="G25" i="7"/>
  <c r="AE22" i="1"/>
  <c r="G24" i="5"/>
  <c r="I19" i="1" l="1"/>
  <c r="M17" i="1"/>
  <c r="I16" i="1"/>
  <c r="M19" i="1"/>
  <c r="I25" i="1"/>
  <c r="I26" i="1"/>
  <c r="M29" i="1"/>
  <c r="I30" i="1"/>
  <c r="I34" i="1"/>
  <c r="M13" i="1"/>
  <c r="M20" i="1"/>
  <c r="M24" i="1"/>
  <c r="I27" i="1"/>
  <c r="M18" i="1"/>
  <c r="M14" i="1"/>
  <c r="I24" i="1"/>
  <c r="I29" i="1"/>
  <c r="I17" i="1"/>
  <c r="M16" i="1"/>
  <c r="I22" i="1"/>
  <c r="I21" i="1"/>
  <c r="M22" i="1"/>
  <c r="I23" i="1"/>
  <c r="M26" i="1"/>
  <c r="M27" i="1"/>
  <c r="M30" i="1"/>
  <c r="M31" i="1"/>
  <c r="I32" i="1"/>
  <c r="I20" i="1"/>
  <c r="I18" i="1"/>
  <c r="M23" i="1"/>
  <c r="I28" i="1"/>
  <c r="I31" i="1"/>
  <c r="M15" i="1"/>
  <c r="M21" i="1"/>
  <c r="M25" i="1"/>
  <c r="M28" i="1"/>
  <c r="I33" i="1"/>
  <c r="AE23" i="1"/>
  <c r="G25" i="5"/>
  <c r="O25" i="7"/>
</calcChain>
</file>

<file path=xl/comments1.xml><?xml version="1.0" encoding="utf-8"?>
<comments xmlns="http://schemas.openxmlformats.org/spreadsheetml/2006/main">
  <authors>
    <author>STephen Erfle</author>
  </authors>
  <commentList>
    <comment ref="A1" authorId="0">
      <text>
        <r>
          <rPr>
            <sz val="8"/>
            <color indexed="81"/>
            <rFont val="Tahoma"/>
            <family val="2"/>
          </rPr>
          <t>First make sure you are comfortable with the individual diagrams and have worked through Figures 15, 16 and 17. To build the Edgeworth box, click the boxes beneath each individual's barter bundle (</t>
        </r>
        <r>
          <rPr>
            <b/>
            <sz val="8"/>
            <color indexed="81"/>
            <rFont val="Tahoma"/>
            <family val="2"/>
          </rPr>
          <t>E26</t>
        </r>
        <r>
          <rPr>
            <sz val="8"/>
            <color indexed="81"/>
            <rFont val="Tahoma"/>
            <family val="2"/>
          </rPr>
          <t xml:space="preserve"> and </t>
        </r>
        <r>
          <rPr>
            <b/>
            <sz val="8"/>
            <color indexed="81"/>
            <rFont val="Tahoma"/>
            <family val="2"/>
          </rPr>
          <t>M26</t>
        </r>
        <r>
          <rPr>
            <sz val="8"/>
            <color indexed="81"/>
            <rFont val="Tahoma"/>
            <family val="2"/>
          </rPr>
          <t xml:space="preserve">) to see each endowment as a vector. Next click </t>
        </r>
        <r>
          <rPr>
            <b/>
            <sz val="8"/>
            <color indexed="81"/>
            <rFont val="Tahoma"/>
            <family val="2"/>
          </rPr>
          <t>A30</t>
        </r>
        <r>
          <rPr>
            <sz val="8"/>
            <color indexed="81"/>
            <rFont val="Tahoma"/>
            <family val="2"/>
          </rPr>
          <t xml:space="preserve"> to see Bob's endowment added to Annie's. This determines total resources beween them. This is the top of the box, which you can see by clicking cell </t>
        </r>
        <r>
          <rPr>
            <b/>
            <sz val="8"/>
            <color indexed="81"/>
            <rFont val="Tahoma"/>
            <family val="2"/>
          </rPr>
          <t>I30</t>
        </r>
        <r>
          <rPr>
            <sz val="8"/>
            <color indexed="81"/>
            <rFont val="Tahoma"/>
            <family val="2"/>
          </rPr>
          <t xml:space="preserve">. Now go to Figure 18 (set up from the </t>
        </r>
        <r>
          <rPr>
            <b/>
            <sz val="8"/>
            <color indexed="81"/>
            <rFont val="Tahoma"/>
            <family val="2"/>
          </rPr>
          <t>data</t>
        </r>
        <r>
          <rPr>
            <sz val="8"/>
            <color indexed="81"/>
            <rFont val="Tahoma"/>
            <family val="2"/>
          </rPr>
          <t xml:space="preserve"> page)</t>
        </r>
      </text>
    </comment>
  </commentList>
</comments>
</file>

<file path=xl/sharedStrings.xml><?xml version="1.0" encoding="utf-8"?>
<sst xmlns="http://schemas.openxmlformats.org/spreadsheetml/2006/main" count="377" uniqueCount="152">
  <si>
    <t>Endowments</t>
  </si>
  <si>
    <t>A</t>
  </si>
  <si>
    <t>B</t>
  </si>
  <si>
    <t>x</t>
  </si>
  <si>
    <t>y</t>
  </si>
  <si>
    <t>CD exponent on x</t>
  </si>
  <si>
    <t>Total</t>
  </si>
  <si>
    <t>initial utility</t>
  </si>
  <si>
    <t>MRSendow</t>
  </si>
  <si>
    <t>dx</t>
  </si>
  <si>
    <t>X</t>
  </si>
  <si>
    <t>toggles</t>
  </si>
  <si>
    <t>Ua0</t>
  </si>
  <si>
    <t>endowA</t>
  </si>
  <si>
    <t>endowB</t>
  </si>
  <si>
    <t>box bottom</t>
  </si>
  <si>
    <t>box top</t>
  </si>
  <si>
    <t>Contract Curve</t>
  </si>
  <si>
    <t>EndowARay</t>
  </si>
  <si>
    <t>EndowBRay</t>
  </si>
  <si>
    <t>2EndowARay</t>
  </si>
  <si>
    <t>2EndowBRay</t>
  </si>
  <si>
    <t>2endowA</t>
  </si>
  <si>
    <t>2endowB</t>
  </si>
  <si>
    <t>2box top</t>
  </si>
  <si>
    <t>2Ua0</t>
  </si>
  <si>
    <t>2Ub0</t>
  </si>
  <si>
    <t>buttons</t>
  </si>
  <si>
    <t>Annie's</t>
  </si>
  <si>
    <t>Initial indifference curve</t>
  </si>
  <si>
    <t>endowment as a vector</t>
  </si>
  <si>
    <t>Bob's</t>
  </si>
  <si>
    <t>axes</t>
  </si>
  <si>
    <t>endowment</t>
  </si>
  <si>
    <t>initial indifference curve</t>
  </si>
  <si>
    <t>Y</t>
  </si>
  <si>
    <t>MRS</t>
  </si>
  <si>
    <t>UbBarter</t>
  </si>
  <si>
    <t>UaBarter</t>
  </si>
  <si>
    <t>Barter Analysis</t>
  </si>
  <si>
    <t>Xbarter Slider</t>
  </si>
  <si>
    <t>Min/MaxWTP</t>
  </si>
  <si>
    <t>P&amp;B</t>
  </si>
  <si>
    <t>barter set</t>
  </si>
  <si>
    <t>Use the slider to represent transfering X between Bob and Annie.</t>
  </si>
  <si>
    <t>More X to Annie</t>
  </si>
  <si>
    <t>More X to Bob</t>
  </si>
  <si>
    <t>What is the smallest Y that Bob must be given to make this trade?</t>
  </si>
  <si>
    <t>What is the largest Y that Annie is willing to give to make this trade?</t>
  </si>
  <si>
    <t>Graphical representation of trade possibilities in this instance.</t>
  </si>
  <si>
    <t>Graphical representation of trade in this instance.</t>
  </si>
  <si>
    <t>For Annie</t>
  </si>
  <si>
    <t>For Bob</t>
  </si>
  <si>
    <t>Ybarter</t>
  </si>
  <si>
    <t>Ubarter</t>
  </si>
  <si>
    <t>Ybarter Slider</t>
  </si>
  <si>
    <t>MRSbarter</t>
  </si>
  <si>
    <t>Are there further gains that could occur in this instance?</t>
  </si>
  <si>
    <r>
      <t>In this instance, (</t>
    </r>
    <r>
      <rPr>
        <u/>
        <sz val="12"/>
        <rFont val="Times New Roman"/>
        <family val="1"/>
      </rPr>
      <t>Annie,Bob</t>
    </r>
    <r>
      <rPr>
        <sz val="12"/>
        <rFont val="Times New Roman"/>
        <family val="1"/>
      </rPr>
      <t>) would like to trade some Y for more X?</t>
    </r>
  </si>
  <si>
    <t>A:</t>
  </si>
  <si>
    <t>-</t>
  </si>
  <si>
    <t>B12</t>
  </si>
  <si>
    <t>B14</t>
  </si>
  <si>
    <t>yToMaintainU0</t>
  </si>
  <si>
    <t xml:space="preserve">  Bob's</t>
  </si>
  <si>
    <t xml:space="preserve">  Total</t>
  </si>
  <si>
    <t>D22</t>
  </si>
  <si>
    <t>D23</t>
  </si>
  <si>
    <t>B7</t>
  </si>
  <si>
    <t>C15</t>
  </si>
  <si>
    <t>B25</t>
  </si>
  <si>
    <t xml:space="preserve">A:     </t>
  </si>
  <si>
    <t>X traded:</t>
  </si>
  <si>
    <t>Initial Endowment</t>
  </si>
  <si>
    <t xml:space="preserve">Endowment </t>
  </si>
  <si>
    <t>Endowment as a vector</t>
  </si>
  <si>
    <t>allocation of resources</t>
  </si>
  <si>
    <t>MoreY to Bob</t>
  </si>
  <si>
    <t>More Y to Annie</t>
  </si>
  <si>
    <t>AllocationA</t>
  </si>
  <si>
    <t>an allocation of resources</t>
  </si>
  <si>
    <t>Barter setup</t>
  </si>
  <si>
    <t>2GP&amp;B</t>
  </si>
  <si>
    <t>2P&amp;B</t>
  </si>
  <si>
    <t>B&amp;2GBAnnie</t>
  </si>
  <si>
    <t>2GB</t>
  </si>
  <si>
    <t>2UbBarter</t>
  </si>
  <si>
    <t>Barter possibilities</t>
  </si>
  <si>
    <t>Barter bundle indifference curve</t>
  </si>
  <si>
    <t>Barter choice</t>
  </si>
  <si>
    <t>B&amp;2GBBob</t>
  </si>
  <si>
    <t>Bbarter set</t>
  </si>
  <si>
    <t xml:space="preserve">     Annie's Barter bundle</t>
  </si>
  <si>
    <t xml:space="preserve">     Bob's barter bundle</t>
  </si>
  <si>
    <t xml:space="preserve">               X traded:</t>
  </si>
  <si>
    <t>Annie is better at bargaining</t>
  </si>
  <si>
    <t>Bob is better at bargaining</t>
  </si>
  <si>
    <t>Y traded:</t>
  </si>
  <si>
    <t>X traded (click to show on graphs):</t>
  </si>
  <si>
    <t>AbarterX</t>
  </si>
  <si>
    <t>AbarterY</t>
  </si>
  <si>
    <t>BbarterX</t>
  </si>
  <si>
    <t>BbarterY</t>
  </si>
  <si>
    <t>in exchange for Y (click to show on graphs):</t>
  </si>
  <si>
    <t>B2GB</t>
  </si>
  <si>
    <t>A2GB</t>
  </si>
  <si>
    <t>BBarterXY</t>
  </si>
  <si>
    <t>BarterXY</t>
  </si>
  <si>
    <t>solid X axis</t>
  </si>
  <si>
    <t>shifting Xaxis</t>
  </si>
  <si>
    <t xml:space="preserve">    Initial Endowment</t>
  </si>
  <si>
    <t>Endowment</t>
  </si>
  <si>
    <t>Chocolate, X</t>
  </si>
  <si>
    <t>Gummie bears, Y</t>
  </si>
  <si>
    <t>Gummi bears, Y</t>
  </si>
  <si>
    <t xml:space="preserve">Chocolate, X     </t>
  </si>
  <si>
    <t>Panel A</t>
  </si>
  <si>
    <t>Panel B</t>
  </si>
  <si>
    <t>Figure 18</t>
  </si>
  <si>
    <t>Figure label</t>
  </si>
  <si>
    <t>2EndowBRayinA</t>
  </si>
  <si>
    <t>Adding Bob's endowment to Annie's to determine total available (X,Y)</t>
  </si>
  <si>
    <t>Total available between Annie and Bob (the Edgeworth box)</t>
  </si>
  <si>
    <r>
      <t xml:space="preserve">click to go to </t>
    </r>
    <r>
      <rPr>
        <b/>
        <u/>
        <sz val="10"/>
        <color indexed="48"/>
        <rFont val="Arial"/>
        <family val="2"/>
      </rPr>
      <t>data</t>
    </r>
    <r>
      <rPr>
        <u/>
        <sz val="10"/>
        <color indexed="48"/>
        <rFont val="Arial"/>
        <family val="2"/>
      </rPr>
      <t xml:space="preserve"> worksheet (to set up a figure from the text)</t>
    </r>
  </si>
  <si>
    <t>Copyright © 2004, Stephen E. Erfle. All rights reserved.</t>
  </si>
  <si>
    <t xml:space="preserve"> </t>
  </si>
  <si>
    <r>
      <t xml:space="preserve">click here to go to the allocations worksheet: </t>
    </r>
    <r>
      <rPr>
        <b/>
        <u/>
        <sz val="10"/>
        <color indexed="12"/>
        <rFont val="Arial"/>
        <family val="2"/>
      </rPr>
      <t>18allocations</t>
    </r>
  </si>
  <si>
    <r>
      <t xml:space="preserve">click here to go to the Edgeworth box worksheet: </t>
    </r>
    <r>
      <rPr>
        <b/>
        <u/>
        <sz val="10"/>
        <color indexed="12"/>
        <rFont val="Arial"/>
        <family val="2"/>
      </rPr>
      <t>19-20,EdgeBarter</t>
    </r>
  </si>
  <si>
    <t>(= Y/X)</t>
  </si>
  <si>
    <t>= Y/X</t>
  </si>
  <si>
    <t xml:space="preserve">     Click to see the point of this worksheet.</t>
  </si>
  <si>
    <t>To build the box</t>
  </si>
  <si>
    <r>
      <t xml:space="preserve">click here to go to the two graph worksheet: </t>
    </r>
    <r>
      <rPr>
        <b/>
        <u/>
        <sz val="10"/>
        <color indexed="12"/>
        <rFont val="Arial"/>
        <family val="2"/>
      </rPr>
      <t>15-17,2GraphBarter</t>
    </r>
  </si>
  <si>
    <t xml:space="preserve">      Contract curve</t>
  </si>
  <si>
    <t>these allow you to build the box</t>
  </si>
  <si>
    <t>Figures 15-17</t>
  </si>
  <si>
    <t>Figures 19 and 20</t>
  </si>
  <si>
    <r>
      <t xml:space="preserve">The Edgeworth box Figures (19A, 19B, 20A and 20B) are set once the Scenario is </t>
    </r>
    <r>
      <rPr>
        <b/>
        <sz val="14"/>
        <rFont val="Times New Roman"/>
        <family val="1"/>
      </rPr>
      <t>chosen on this worksheet</t>
    </r>
    <r>
      <rPr>
        <sz val="14"/>
        <rFont val="Times New Roman"/>
        <family val="1"/>
      </rPr>
      <t>.</t>
    </r>
  </si>
  <si>
    <t>ALL FIGURES</t>
  </si>
  <si>
    <r>
      <t xml:space="preserve">click to go to </t>
    </r>
    <r>
      <rPr>
        <b/>
        <u/>
        <sz val="10"/>
        <color indexed="12"/>
        <rFont val="Arial"/>
        <family val="2"/>
      </rPr>
      <t>data</t>
    </r>
    <r>
      <rPr>
        <u/>
        <sz val="10"/>
        <color indexed="12"/>
        <rFont val="Arial"/>
        <family val="2"/>
      </rPr>
      <t xml:space="preserve"> worksheet (to set up a figure from the text)</t>
    </r>
  </si>
  <si>
    <r>
      <t xml:space="preserve">For Figures 15-17, set the same Scenario on </t>
    </r>
    <r>
      <rPr>
        <b/>
        <sz val="14"/>
        <rFont val="Times New Roman"/>
        <family val="1"/>
      </rPr>
      <t>both</t>
    </r>
    <r>
      <rPr>
        <sz val="14"/>
        <rFont val="Times New Roman"/>
        <family val="1"/>
      </rPr>
      <t xml:space="preserve"> worksheets.</t>
    </r>
  </si>
  <si>
    <r>
      <t xml:space="preserve">For Figures 18A-18C, go to the </t>
    </r>
    <r>
      <rPr>
        <b/>
        <sz val="14"/>
        <rFont val="Times New Roman"/>
        <family val="1"/>
      </rPr>
      <t>18allocations</t>
    </r>
    <r>
      <rPr>
        <sz val="14"/>
        <rFont val="Times New Roman"/>
        <family val="1"/>
      </rPr>
      <t xml:space="preserve"> worksheet and set Scenario 18A, 18B, or 18C.</t>
    </r>
  </si>
  <si>
    <r>
      <t xml:space="preserve">Use clickbox in cell </t>
    </r>
    <r>
      <rPr>
        <b/>
        <sz val="13"/>
        <rFont val="Times New Roman"/>
        <family val="1"/>
      </rPr>
      <t>A28</t>
    </r>
    <r>
      <rPr>
        <sz val="13"/>
        <rFont val="Times New Roman"/>
        <family val="1"/>
      </rPr>
      <t xml:space="preserve"> for Panel 3.20B. Figures 3.15-20 can be obtained using this file and the hyperlink at the bottom of the page.</t>
    </r>
  </si>
  <si>
    <t>The diagrams for 3.15-17, 3.18 and 3.19 and 3.20 are tied to each other and can be obtained from this file.</t>
  </si>
  <si>
    <t>You do not need to set up scenarios on the Edgeworth Box worksheet.</t>
  </si>
  <si>
    <t>This file can do more than show you Figure 3.20. It can be used to see all of the figures from 3.15 - 3.20.                       In order to see the other figures, follow the instructions below.</t>
  </si>
  <si>
    <t xml:space="preserve">Annie's utilty function is:  UA=XaY(1-a)    and Bob's is:  UB=XbY(1-b) </t>
  </si>
  <si>
    <t>Ub0</t>
  </si>
  <si>
    <r>
      <t>In this instance, (</t>
    </r>
    <r>
      <rPr>
        <u/>
        <sz val="12"/>
        <color theme="0"/>
        <rFont val="Times New Roman"/>
        <family val="1"/>
      </rPr>
      <t>Annie,Bob</t>
    </r>
    <r>
      <rPr>
        <sz val="12"/>
        <color theme="0"/>
        <rFont val="Times New Roman"/>
        <family val="1"/>
      </rPr>
      <t>) would like to trade some Y for more X?</t>
    </r>
  </si>
  <si>
    <r>
      <t xml:space="preserve">All figures require you to use set the scenario on this worksheet.                                                                                                         For ALL figures, click </t>
    </r>
    <r>
      <rPr>
        <b/>
        <sz val="14"/>
        <rFont val="Times New Roman"/>
        <family val="1"/>
      </rPr>
      <t>Data, What-If-Analysis</t>
    </r>
    <r>
      <rPr>
        <sz val="14"/>
        <rFont val="Times New Roman"/>
        <family val="1"/>
      </rPr>
      <t xml:space="preserve">, </t>
    </r>
    <r>
      <rPr>
        <b/>
        <sz val="14"/>
        <rFont val="Times New Roman"/>
        <family val="1"/>
      </rPr>
      <t>Scenarios</t>
    </r>
    <r>
      <rPr>
        <sz val="14"/>
        <rFont val="Times New Roman"/>
        <family val="1"/>
      </rPr>
      <t xml:space="preserve">, </t>
    </r>
    <r>
      <rPr>
        <b/>
        <sz val="14"/>
        <rFont val="Times New Roman"/>
        <family val="1"/>
      </rPr>
      <t>##</t>
    </r>
    <r>
      <rPr>
        <sz val="14"/>
        <rFont val="Times New Roman"/>
        <family val="1"/>
      </rPr>
      <t xml:space="preserve">, </t>
    </r>
    <r>
      <rPr>
        <b/>
        <sz val="14"/>
        <rFont val="Times New Roman"/>
        <family val="1"/>
      </rPr>
      <t>Show, Close</t>
    </r>
    <r>
      <rPr>
        <sz val="14"/>
        <rFont val="Times New Roman"/>
        <family val="1"/>
      </rPr>
      <t xml:space="preserve"> where ## is the figure number you wish to see.                              Then follow the instructions below.  </t>
    </r>
  </si>
  <si>
    <r>
      <t xml:space="preserve">Click </t>
    </r>
    <r>
      <rPr>
        <b/>
        <sz val="14"/>
        <rFont val="Times New Roman"/>
        <family val="1"/>
      </rPr>
      <t>Data</t>
    </r>
    <r>
      <rPr>
        <sz val="14"/>
        <rFont val="Times New Roman"/>
        <family val="1"/>
      </rPr>
      <t>,</t>
    </r>
    <r>
      <rPr>
        <b/>
        <sz val="14"/>
        <rFont val="Times New Roman"/>
        <family val="1"/>
      </rPr>
      <t xml:space="preserve"> What-If-Analysis</t>
    </r>
    <r>
      <rPr>
        <sz val="14"/>
        <rFont val="Times New Roman"/>
        <family val="1"/>
      </rPr>
      <t xml:space="preserve">, </t>
    </r>
    <r>
      <rPr>
        <b/>
        <sz val="14"/>
        <rFont val="Times New Roman"/>
        <family val="1"/>
      </rPr>
      <t>Scenarios</t>
    </r>
    <r>
      <rPr>
        <sz val="14"/>
        <rFont val="Times New Roman"/>
        <family val="1"/>
      </rPr>
      <t xml:space="preserve">, </t>
    </r>
    <r>
      <rPr>
        <b/>
        <sz val="14"/>
        <rFont val="Times New Roman"/>
        <family val="1"/>
      </rPr>
      <t>##</t>
    </r>
    <r>
      <rPr>
        <sz val="14"/>
        <rFont val="Times New Roman"/>
        <family val="1"/>
      </rPr>
      <t xml:space="preserve">, </t>
    </r>
    <r>
      <rPr>
        <b/>
        <sz val="14"/>
        <rFont val="Times New Roman"/>
        <family val="1"/>
      </rPr>
      <t>Show, Close</t>
    </r>
    <r>
      <rPr>
        <sz val="14"/>
        <rFont val="Times New Roman"/>
        <family val="1"/>
      </rPr>
      <t>.  The graph is then set as in the text.</t>
    </r>
  </si>
  <si>
    <r>
      <t>Click</t>
    </r>
    <r>
      <rPr>
        <b/>
        <sz val="14"/>
        <rFont val="Times New Roman"/>
        <family val="1"/>
      </rPr>
      <t xml:space="preserve"> Data, What-If-Analysis, Scenarios</t>
    </r>
    <r>
      <rPr>
        <sz val="14"/>
        <rFont val="Times New Roman"/>
        <family val="1"/>
      </rPr>
      <t xml:space="preserve">, </t>
    </r>
    <r>
      <rPr>
        <b/>
        <sz val="14"/>
        <rFont val="Times New Roman"/>
        <family val="1"/>
      </rPr>
      <t>##</t>
    </r>
    <r>
      <rPr>
        <sz val="14"/>
        <rFont val="Times New Roman"/>
        <family val="1"/>
      </rPr>
      <t xml:space="preserve">, </t>
    </r>
    <r>
      <rPr>
        <b/>
        <sz val="14"/>
        <rFont val="Times New Roman"/>
        <family val="1"/>
      </rPr>
      <t>Show, Close</t>
    </r>
    <r>
      <rPr>
        <sz val="14"/>
        <rFont val="Times New Roman"/>
        <family val="1"/>
      </rPr>
      <t xml:space="preserve"> on that worksheet.  The graph is then set as in the text.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</si>
</sst>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quot;$&quot;#,##0.00"/>
    <numFmt numFmtId="166" formatCode="#\ ???/???"/>
  </numFmts>
  <fonts count="43" x14ac:knownFonts="1">
    <font>
      <sz val="10"/>
      <name val="Arial"/>
    </font>
    <font>
      <sz val="10"/>
      <name val="Arial"/>
      <family val="2"/>
    </font>
    <font>
      <sz val="12"/>
      <name val="Times New Roman"/>
      <family val="1"/>
    </font>
    <font>
      <sz val="12"/>
      <name val="Arial"/>
      <family val="2"/>
    </font>
    <font>
      <u/>
      <sz val="12"/>
      <name val="Times New Roman"/>
      <family val="1"/>
    </font>
    <font>
      <b/>
      <sz val="12"/>
      <name val="Times New Roman"/>
      <family val="1"/>
    </font>
    <font>
      <sz val="14"/>
      <name val="Times New Roman"/>
      <family val="1"/>
    </font>
    <font>
      <sz val="14"/>
      <name val="Arial"/>
      <family val="2"/>
    </font>
    <font>
      <sz val="13"/>
      <name val="Times New Roman"/>
      <family val="1"/>
    </font>
    <font>
      <sz val="20"/>
      <name val="Times New Roman"/>
      <family val="1"/>
    </font>
    <font>
      <sz val="20"/>
      <name val="Arial"/>
      <family val="2"/>
    </font>
    <font>
      <b/>
      <sz val="20"/>
      <color indexed="12"/>
      <name val="Times New Roman"/>
      <family val="1"/>
    </font>
    <font>
      <sz val="12"/>
      <color indexed="12"/>
      <name val="Times New Roman"/>
      <family val="1"/>
    </font>
    <font>
      <b/>
      <sz val="20"/>
      <color indexed="10"/>
      <name val="Times New Roman"/>
      <family val="1"/>
    </font>
    <font>
      <b/>
      <sz val="12"/>
      <color indexed="10"/>
      <name val="Times New Roman"/>
      <family val="1"/>
    </font>
    <font>
      <b/>
      <sz val="12"/>
      <color indexed="12"/>
      <name val="Times New Roman"/>
      <family val="1"/>
    </font>
    <font>
      <sz val="18"/>
      <name val="Times New Roman"/>
      <family val="1"/>
    </font>
    <font>
      <sz val="18"/>
      <name val="Arial"/>
      <family val="2"/>
    </font>
    <font>
      <b/>
      <sz val="18"/>
      <name val="Times New Roman"/>
      <family val="1"/>
    </font>
    <font>
      <b/>
      <sz val="14"/>
      <name val="Times New Roman"/>
      <family val="1"/>
    </font>
    <font>
      <sz val="16"/>
      <name val="Times New Roman"/>
      <family val="1"/>
    </font>
    <font>
      <b/>
      <sz val="14"/>
      <color indexed="10"/>
      <name val="Times New Roman"/>
      <family val="1"/>
    </font>
    <font>
      <b/>
      <sz val="14"/>
      <color indexed="12"/>
      <name val="Times New Roman"/>
      <family val="1"/>
    </font>
    <font>
      <u/>
      <sz val="10"/>
      <color indexed="12"/>
      <name val="Arial"/>
      <family val="2"/>
    </font>
    <font>
      <b/>
      <u/>
      <sz val="10"/>
      <color indexed="48"/>
      <name val="Arial"/>
      <family val="2"/>
    </font>
    <font>
      <u/>
      <sz val="10"/>
      <color indexed="48"/>
      <name val="Arial"/>
      <family val="2"/>
    </font>
    <font>
      <sz val="10"/>
      <color indexed="9"/>
      <name val="Arial"/>
      <family val="2"/>
    </font>
    <font>
      <sz val="12"/>
      <color indexed="9"/>
      <name val="Times New Roman"/>
      <family val="1"/>
    </font>
    <font>
      <sz val="12"/>
      <color indexed="9"/>
      <name val="Arial"/>
      <family val="2"/>
    </font>
    <font>
      <b/>
      <u/>
      <sz val="10"/>
      <color indexed="12"/>
      <name val="Arial"/>
      <family val="2"/>
    </font>
    <font>
      <sz val="10"/>
      <color indexed="9"/>
      <name val="Times New Roman"/>
      <family val="1"/>
    </font>
    <font>
      <sz val="8"/>
      <color indexed="81"/>
      <name val="Tahoma"/>
      <family val="2"/>
    </font>
    <font>
      <b/>
      <sz val="8"/>
      <color indexed="81"/>
      <name val="Tahoma"/>
      <family val="2"/>
    </font>
    <font>
      <sz val="10"/>
      <name val="Times New Roman"/>
      <family val="1"/>
    </font>
    <font>
      <b/>
      <sz val="13"/>
      <name val="Times New Roman"/>
      <family val="1"/>
    </font>
    <font>
      <sz val="16"/>
      <color indexed="10"/>
      <name val="Times New Roman"/>
      <family val="1"/>
    </font>
    <font>
      <sz val="10"/>
      <color rgb="FFFF0000"/>
      <name val="Arial"/>
      <family val="2"/>
    </font>
    <font>
      <sz val="10"/>
      <color theme="0"/>
      <name val="Arial"/>
      <family val="2"/>
    </font>
    <font>
      <sz val="12"/>
      <color theme="0"/>
      <name val="Arial"/>
      <family val="2"/>
    </font>
    <font>
      <sz val="12"/>
      <color theme="0"/>
      <name val="Times New Roman"/>
      <family val="1"/>
    </font>
    <font>
      <u/>
      <sz val="12"/>
      <color theme="0"/>
      <name val="Times New Roman"/>
      <family val="1"/>
    </font>
    <font>
      <b/>
      <sz val="12"/>
      <color theme="0"/>
      <name val="Times New Roman"/>
      <family val="1"/>
    </font>
    <font>
      <sz val="16"/>
      <color theme="0"/>
      <name val="Times New Roman"/>
      <family val="1"/>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194">
    <xf numFmtId="0" fontId="0" fillId="0" borderId="0" xfId="0"/>
    <xf numFmtId="0" fontId="6" fillId="0" borderId="0" xfId="0" applyFont="1" applyAlignment="1" applyProtection="1">
      <alignment horizontal="center"/>
      <protection hidden="1"/>
    </xf>
    <xf numFmtId="0" fontId="0" fillId="0" borderId="0" xfId="0" applyProtection="1">
      <protection hidden="1"/>
    </xf>
    <xf numFmtId="0" fontId="0" fillId="0" borderId="0" xfId="0" applyAlignment="1" applyProtection="1">
      <alignment horizontal="center"/>
      <protection hidden="1"/>
    </xf>
    <xf numFmtId="0" fontId="0" fillId="0" borderId="0" xfId="0" applyAlignment="1" applyProtection="1">
      <alignment horizontal="left"/>
      <protection hidden="1"/>
    </xf>
    <xf numFmtId="0" fontId="0" fillId="0" borderId="0" xfId="0" applyBorder="1" applyProtection="1">
      <protection hidden="1"/>
    </xf>
    <xf numFmtId="0" fontId="2" fillId="0" borderId="0" xfId="0" applyFont="1" applyFill="1" applyBorder="1" applyAlignment="1" applyProtection="1">
      <alignment horizontal="left"/>
      <protection hidden="1"/>
    </xf>
    <xf numFmtId="0" fontId="2" fillId="0" borderId="0" xfId="0" applyFont="1" applyFill="1" applyBorder="1" applyAlignment="1" applyProtection="1">
      <alignment horizontal="center"/>
      <protection hidden="1"/>
    </xf>
    <xf numFmtId="0" fontId="2" fillId="0" borderId="0" xfId="0" applyFont="1" applyFill="1" applyBorder="1" applyAlignment="1" applyProtection="1">
      <alignment horizontal="right"/>
      <protection hidden="1"/>
    </xf>
    <xf numFmtId="0" fontId="26" fillId="0" borderId="0" xfId="0" applyFont="1" applyFill="1" applyBorder="1" applyProtection="1">
      <protection hidden="1"/>
    </xf>
    <xf numFmtId="0" fontId="28" fillId="0" borderId="0" xfId="0" applyFont="1" applyFill="1" applyBorder="1" applyProtection="1">
      <protection hidden="1"/>
    </xf>
    <xf numFmtId="0" fontId="26" fillId="0" borderId="0" xfId="0" applyFont="1" applyFill="1" applyBorder="1" applyAlignment="1" applyProtection="1">
      <alignment horizontal="center"/>
      <protection hidden="1"/>
    </xf>
    <xf numFmtId="0" fontId="27" fillId="0" borderId="0" xfId="0" applyFont="1" applyFill="1" applyBorder="1" applyProtection="1">
      <protection hidden="1"/>
    </xf>
    <xf numFmtId="2" fontId="27" fillId="0" borderId="0" xfId="0" applyNumberFormat="1" applyFont="1" applyFill="1" applyBorder="1" applyAlignment="1" applyProtection="1">
      <alignment horizontal="center"/>
      <protection hidden="1"/>
    </xf>
    <xf numFmtId="0" fontId="26" fillId="0" borderId="0" xfId="0" applyFont="1" applyFill="1" applyBorder="1" applyProtection="1">
      <protection locked="0" hidden="1"/>
    </xf>
    <xf numFmtId="164" fontId="27" fillId="0" borderId="0" xfId="0" applyNumberFormat="1" applyFont="1" applyFill="1" applyBorder="1" applyAlignment="1" applyProtection="1">
      <alignment horizontal="center"/>
      <protection hidden="1"/>
    </xf>
    <xf numFmtId="0" fontId="23" fillId="0" borderId="0" xfId="2" applyFont="1" applyBorder="1" applyAlignment="1" applyProtection="1">
      <alignment horizontal="center"/>
      <protection locked="0" hidden="1"/>
    </xf>
    <xf numFmtId="0" fontId="6" fillId="2" borderId="0" xfId="0" applyFont="1" applyFill="1" applyAlignment="1" applyProtection="1">
      <alignment horizontal="center"/>
      <protection hidden="1"/>
    </xf>
    <xf numFmtId="0" fontId="2" fillId="0" borderId="0" xfId="0" applyFont="1" applyProtection="1">
      <protection hidden="1"/>
    </xf>
    <xf numFmtId="0" fontId="5" fillId="3" borderId="0" xfId="0" applyFont="1" applyFill="1" applyAlignment="1" applyProtection="1">
      <alignment horizontal="center"/>
      <protection hidden="1"/>
    </xf>
    <xf numFmtId="0" fontId="2" fillId="0" borderId="0" xfId="0" applyFont="1" applyAlignment="1" applyProtection="1">
      <alignment horizontal="center"/>
      <protection hidden="1"/>
    </xf>
    <xf numFmtId="0" fontId="2" fillId="0" borderId="0" xfId="0" applyFont="1" applyAlignment="1" applyProtection="1">
      <alignment horizontal="right"/>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2" fillId="0" borderId="0" xfId="0" applyFont="1" applyAlignment="1" applyProtection="1">
      <alignment horizontal="right" vertical="top"/>
      <protection hidden="1"/>
    </xf>
    <xf numFmtId="0" fontId="0" fillId="0" borderId="0" xfId="0" applyAlignment="1" applyProtection="1">
      <alignment vertical="top"/>
      <protection hidden="1"/>
    </xf>
    <xf numFmtId="0" fontId="2" fillId="0" borderId="1" xfId="0" applyFont="1" applyBorder="1" applyAlignment="1" applyProtection="1">
      <alignment horizontal="left"/>
      <protection hidden="1"/>
    </xf>
    <xf numFmtId="0" fontId="2" fillId="0" borderId="2" xfId="0" applyFont="1" applyBorder="1" applyProtection="1">
      <protection hidden="1"/>
    </xf>
    <xf numFmtId="0" fontId="2" fillId="0" borderId="3"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2" fillId="0" borderId="0" xfId="0" applyFont="1" applyBorder="1" applyAlignment="1" applyProtection="1">
      <alignment horizontal="left"/>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2" fontId="6" fillId="0" borderId="6" xfId="0" applyNumberFormat="1" applyFont="1" applyBorder="1" applyAlignment="1" applyProtection="1">
      <alignment horizontal="center" vertical="center"/>
      <protection hidden="1"/>
    </xf>
    <xf numFmtId="0" fontId="2" fillId="0" borderId="9" xfId="0" applyFont="1" applyBorder="1" applyProtection="1">
      <protection hidden="1"/>
    </xf>
    <xf numFmtId="0" fontId="2" fillId="0" borderId="0" xfId="0" applyFont="1" applyBorder="1" applyProtection="1">
      <protection hidden="1"/>
    </xf>
    <xf numFmtId="0" fontId="2" fillId="0" borderId="10" xfId="0" applyFont="1" applyBorder="1" applyProtection="1">
      <protection hidden="1"/>
    </xf>
    <xf numFmtId="164" fontId="6" fillId="0" borderId="11" xfId="0" applyNumberFormat="1" applyFont="1" applyBorder="1" applyAlignment="1" applyProtection="1">
      <alignment horizontal="center" vertical="center"/>
      <protection hidden="1"/>
    </xf>
    <xf numFmtId="164" fontId="6" fillId="0" borderId="12" xfId="0" applyNumberFormat="1" applyFont="1" applyBorder="1" applyAlignment="1" applyProtection="1">
      <alignment horizontal="center" vertical="center"/>
      <protection hidden="1"/>
    </xf>
    <xf numFmtId="2" fontId="6" fillId="0" borderId="13" xfId="0" applyNumberFormat="1" applyFont="1" applyBorder="1" applyAlignment="1" applyProtection="1">
      <alignment horizontal="center" vertical="center"/>
      <protection hidden="1"/>
    </xf>
    <xf numFmtId="0" fontId="5" fillId="0" borderId="0" xfId="0" applyFont="1" applyProtection="1">
      <protection hidden="1"/>
    </xf>
    <xf numFmtId="0" fontId="5" fillId="0" borderId="0" xfId="0" applyFont="1" applyAlignment="1" applyProtection="1">
      <alignment horizontal="left"/>
      <protection hidden="1"/>
    </xf>
    <xf numFmtId="0" fontId="2" fillId="0" borderId="0" xfId="0" applyFont="1" applyAlignment="1" applyProtection="1">
      <alignment horizontal="left"/>
      <protection hidden="1"/>
    </xf>
    <xf numFmtId="164" fontId="2" fillId="0" borderId="0" xfId="0" applyNumberFormat="1" applyFont="1" applyProtection="1">
      <protection hidden="1"/>
    </xf>
    <xf numFmtId="164" fontId="19" fillId="0" borderId="0" xfId="0" applyNumberFormat="1" applyFont="1" applyAlignment="1" applyProtection="1">
      <alignment horizontal="center"/>
      <protection hidden="1"/>
    </xf>
    <xf numFmtId="164" fontId="19" fillId="0" borderId="0" xfId="0" applyNumberFormat="1" applyFont="1" applyAlignment="1" applyProtection="1">
      <alignment horizontal="left"/>
      <protection hidden="1"/>
    </xf>
    <xf numFmtId="0" fontId="2" fillId="0" borderId="14" xfId="0" applyFont="1" applyBorder="1" applyAlignment="1" applyProtection="1">
      <alignment horizontal="left"/>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right"/>
      <protection hidden="1"/>
    </xf>
    <xf numFmtId="0" fontId="12" fillId="0" borderId="0" xfId="0" applyFont="1" applyAlignment="1" applyProtection="1">
      <alignment horizontal="right"/>
      <protection hidden="1"/>
    </xf>
    <xf numFmtId="0" fontId="2" fillId="0" borderId="4" xfId="0" applyFont="1" applyBorder="1" applyProtection="1">
      <protection hidden="1"/>
    </xf>
    <xf numFmtId="0" fontId="6" fillId="0" borderId="0" xfId="0" applyFont="1" applyFill="1" applyBorder="1" applyAlignment="1" applyProtection="1">
      <alignment horizontal="center"/>
      <protection hidden="1"/>
    </xf>
    <xf numFmtId="0" fontId="6" fillId="0" borderId="0" xfId="0" applyFont="1" applyFill="1" applyBorder="1" applyAlignment="1" applyProtection="1">
      <alignment horizontal="right"/>
      <protection hidden="1"/>
    </xf>
    <xf numFmtId="0" fontId="6" fillId="0" borderId="0" xfId="0" applyFont="1" applyFill="1" applyBorder="1" applyAlignment="1" applyProtection="1">
      <alignment horizontal="left"/>
      <protection hidden="1"/>
    </xf>
    <xf numFmtId="0" fontId="0" fillId="0" borderId="11" xfId="0" applyBorder="1" applyProtection="1">
      <protection hidden="1"/>
    </xf>
    <xf numFmtId="0" fontId="2" fillId="0" borderId="12" xfId="0" applyFont="1" applyBorder="1" applyAlignment="1" applyProtection="1">
      <alignment vertical="center"/>
      <protection hidden="1"/>
    </xf>
    <xf numFmtId="0" fontId="0" fillId="0" borderId="13" xfId="0" applyBorder="1" applyProtection="1">
      <protection hidden="1"/>
    </xf>
    <xf numFmtId="0" fontId="3" fillId="0" borderId="0" xfId="0" applyFont="1" applyProtection="1">
      <protection hidden="1"/>
    </xf>
    <xf numFmtId="0" fontId="14" fillId="0" borderId="0" xfId="0" applyFont="1" applyAlignment="1" applyProtection="1">
      <alignment horizontal="center"/>
      <protection hidden="1"/>
    </xf>
    <xf numFmtId="0" fontId="8" fillId="0" borderId="0" xfId="0" applyFont="1" applyAlignment="1" applyProtection="1">
      <alignment horizontal="right"/>
      <protection hidden="1"/>
    </xf>
    <xf numFmtId="0" fontId="8" fillId="0" borderId="0" xfId="0" applyFont="1" applyAlignment="1" applyProtection="1">
      <alignment horizontal="left"/>
      <protection hidden="1"/>
    </xf>
    <xf numFmtId="0" fontId="7" fillId="0" borderId="0" xfId="0" applyFont="1" applyProtection="1">
      <protection hidden="1"/>
    </xf>
    <xf numFmtId="0" fontId="11" fillId="0" borderId="0" xfId="0" applyFont="1" applyAlignment="1" applyProtection="1">
      <alignment horizontal="right"/>
      <protection hidden="1"/>
    </xf>
    <xf numFmtId="0" fontId="15" fillId="0" borderId="0" xfId="0" applyFont="1" applyAlignment="1" applyProtection="1">
      <alignment horizontal="right"/>
      <protection hidden="1"/>
    </xf>
    <xf numFmtId="0" fontId="2" fillId="0" borderId="0" xfId="0" applyFont="1" applyBorder="1" applyAlignment="1" applyProtection="1">
      <alignment horizontal="center"/>
      <protection hidden="1"/>
    </xf>
    <xf numFmtId="0" fontId="6" fillId="0" borderId="0" xfId="0" applyFont="1" applyBorder="1" applyAlignment="1" applyProtection="1">
      <alignment horizontal="right"/>
      <protection hidden="1"/>
    </xf>
    <xf numFmtId="0" fontId="9" fillId="0" borderId="0" xfId="0" applyFont="1" applyProtection="1">
      <protection hidden="1"/>
    </xf>
    <xf numFmtId="0" fontId="10" fillId="0" borderId="0" xfId="0" applyFont="1" applyProtection="1">
      <protection hidden="1"/>
    </xf>
    <xf numFmtId="0" fontId="9" fillId="0" borderId="14" xfId="0" applyFont="1" applyBorder="1" applyAlignment="1" applyProtection="1">
      <alignment horizontal="center"/>
      <protection hidden="1"/>
    </xf>
    <xf numFmtId="0" fontId="9" fillId="0" borderId="16"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right"/>
      <protection hidden="1"/>
    </xf>
    <xf numFmtId="0" fontId="9" fillId="0" borderId="17" xfId="0" applyFont="1" applyBorder="1" applyAlignment="1" applyProtection="1">
      <alignment horizontal="center"/>
      <protection hidden="1"/>
    </xf>
    <xf numFmtId="0" fontId="9" fillId="0" borderId="18" xfId="0" applyFont="1" applyBorder="1" applyAlignment="1" applyProtection="1">
      <alignment horizontal="center"/>
      <protection hidden="1"/>
    </xf>
    <xf numFmtId="164" fontId="2" fillId="0" borderId="0" xfId="0" applyNumberFormat="1" applyFont="1" applyAlignment="1" applyProtection="1">
      <alignment horizontal="center"/>
      <protection hidden="1"/>
    </xf>
    <xf numFmtId="0" fontId="9" fillId="0" borderId="0" xfId="0" applyFont="1" applyBorder="1" applyProtection="1">
      <protection hidden="1"/>
    </xf>
    <xf numFmtId="0" fontId="9" fillId="0" borderId="19" xfId="0" applyFont="1" applyBorder="1" applyAlignment="1" applyProtection="1">
      <alignment horizontal="center"/>
      <protection hidden="1"/>
    </xf>
    <xf numFmtId="0" fontId="9" fillId="0" borderId="20" xfId="0" applyFont="1" applyBorder="1" applyAlignment="1" applyProtection="1">
      <alignment horizontal="center"/>
      <protection hidden="1"/>
    </xf>
    <xf numFmtId="0" fontId="16" fillId="0" borderId="0" xfId="0" applyFont="1" applyAlignment="1" applyProtection="1">
      <alignment horizontal="left"/>
      <protection hidden="1"/>
    </xf>
    <xf numFmtId="0" fontId="17" fillId="0" borderId="0" xfId="0" applyFont="1" applyProtection="1">
      <protection hidden="1"/>
    </xf>
    <xf numFmtId="0" fontId="16" fillId="0" borderId="0" xfId="0" applyFont="1" applyProtection="1">
      <protection hidden="1"/>
    </xf>
    <xf numFmtId="0" fontId="16" fillId="0" borderId="0" xfId="0" applyFont="1" applyAlignment="1" applyProtection="1">
      <alignment horizontal="right"/>
      <protection hidden="1"/>
    </xf>
    <xf numFmtId="0" fontId="14" fillId="0" borderId="0" xfId="0" applyFont="1" applyAlignment="1" applyProtection="1">
      <alignment horizontal="left"/>
      <protection hidden="1"/>
    </xf>
    <xf numFmtId="164" fontId="2" fillId="0" borderId="0" xfId="0" applyNumberFormat="1" applyFont="1" applyBorder="1" applyAlignment="1" applyProtection="1">
      <alignment horizontal="center"/>
      <protection hidden="1"/>
    </xf>
    <xf numFmtId="0" fontId="13" fillId="0" borderId="0" xfId="0" applyFont="1" applyAlignment="1" applyProtection="1">
      <alignment horizontal="left"/>
      <protection hidden="1"/>
    </xf>
    <xf numFmtId="0" fontId="18" fillId="0" borderId="0" xfId="0" applyFont="1" applyProtection="1">
      <protection hidden="1"/>
    </xf>
    <xf numFmtId="165" fontId="2" fillId="0" borderId="0" xfId="0" applyNumberFormat="1" applyFont="1" applyAlignment="1" applyProtection="1">
      <alignment horizontal="left"/>
      <protection hidden="1"/>
    </xf>
    <xf numFmtId="2" fontId="2" fillId="0" borderId="0" xfId="0" applyNumberFormat="1" applyFont="1" applyAlignment="1" applyProtection="1">
      <alignment horizontal="center"/>
      <protection hidden="1"/>
    </xf>
    <xf numFmtId="0" fontId="2" fillId="0" borderId="21" xfId="0" applyFont="1" applyBorder="1" applyAlignment="1" applyProtection="1">
      <alignment horizontal="center"/>
      <protection hidden="1"/>
    </xf>
    <xf numFmtId="0" fontId="2" fillId="0" borderId="22" xfId="0" applyFont="1" applyBorder="1" applyAlignment="1" applyProtection="1">
      <alignment horizontal="right"/>
      <protection hidden="1"/>
    </xf>
    <xf numFmtId="0" fontId="3" fillId="0" borderId="7" xfId="0" applyFont="1" applyBorder="1" applyProtection="1">
      <protection hidden="1"/>
    </xf>
    <xf numFmtId="0" fontId="2" fillId="0" borderId="6" xfId="0" applyFont="1" applyBorder="1" applyProtection="1">
      <protection hidden="1"/>
    </xf>
    <xf numFmtId="0" fontId="2" fillId="0" borderId="6" xfId="0" quotePrefix="1" applyFont="1" applyBorder="1" applyAlignment="1" applyProtection="1">
      <alignment horizontal="center"/>
      <protection hidden="1"/>
    </xf>
    <xf numFmtId="0" fontId="2" fillId="0" borderId="0" xfId="0" quotePrefix="1" applyFont="1" applyBorder="1" applyAlignment="1" applyProtection="1">
      <alignment horizontal="center"/>
      <protection hidden="1"/>
    </xf>
    <xf numFmtId="0" fontId="2" fillId="0" borderId="23" xfId="0" applyFont="1" applyBorder="1" applyProtection="1">
      <protection hidden="1"/>
    </xf>
    <xf numFmtId="0" fontId="2" fillId="0" borderId="21" xfId="0" applyFont="1" applyBorder="1" applyAlignment="1" applyProtection="1">
      <alignment horizontal="left"/>
      <protection hidden="1"/>
    </xf>
    <xf numFmtId="0" fontId="20" fillId="0" borderId="5" xfId="0" applyFont="1" applyBorder="1" applyAlignment="1" applyProtection="1">
      <alignment horizontal="center" vertical="center"/>
      <protection hidden="1"/>
    </xf>
    <xf numFmtId="0" fontId="20" fillId="0" borderId="8" xfId="0" applyFont="1" applyBorder="1" applyAlignment="1" applyProtection="1">
      <alignment horizontal="center" vertical="center"/>
      <protection hidden="1"/>
    </xf>
    <xf numFmtId="2" fontId="20" fillId="0" borderId="6" xfId="0" applyNumberFormat="1" applyFont="1" applyBorder="1" applyAlignment="1" applyProtection="1">
      <alignment horizontal="center" vertical="center" shrinkToFit="1"/>
      <protection hidden="1"/>
    </xf>
    <xf numFmtId="2" fontId="20" fillId="0" borderId="0" xfId="0" applyNumberFormat="1" applyFont="1" applyBorder="1" applyAlignment="1" applyProtection="1">
      <alignment horizontal="center" vertical="center" shrinkToFit="1"/>
      <protection hidden="1"/>
    </xf>
    <xf numFmtId="0" fontId="22" fillId="0" borderId="0" xfId="0" applyFont="1" applyAlignment="1" applyProtection="1">
      <alignment horizontal="right"/>
      <protection hidden="1"/>
    </xf>
    <xf numFmtId="0" fontId="2" fillId="0" borderId="24" xfId="0" applyFont="1" applyBorder="1" applyAlignment="1" applyProtection="1">
      <alignment horizontal="left"/>
      <protection hidden="1"/>
    </xf>
    <xf numFmtId="0" fontId="20" fillId="0" borderId="25" xfId="0" applyFont="1" applyBorder="1" applyAlignment="1" applyProtection="1">
      <alignment horizontal="center" vertical="center"/>
      <protection hidden="1"/>
    </xf>
    <xf numFmtId="2" fontId="20" fillId="0" borderId="18" xfId="0" applyNumberFormat="1" applyFont="1" applyBorder="1" applyAlignment="1" applyProtection="1">
      <alignment horizontal="center" vertical="center" shrinkToFit="1"/>
      <protection hidden="1"/>
    </xf>
    <xf numFmtId="0" fontId="15" fillId="0" borderId="0" xfId="0" applyFont="1" applyProtection="1">
      <protection hidden="1"/>
    </xf>
    <xf numFmtId="0" fontId="2" fillId="0" borderId="11" xfId="0" applyFont="1" applyBorder="1" applyProtection="1">
      <protection hidden="1"/>
    </xf>
    <xf numFmtId="0" fontId="2" fillId="0" borderId="12" xfId="0" applyFont="1" applyBorder="1" applyAlignment="1" applyProtection="1">
      <alignment horizontal="center"/>
      <protection hidden="1"/>
    </xf>
    <xf numFmtId="0" fontId="2" fillId="0" borderId="13" xfId="0" applyFont="1" applyBorder="1" applyProtection="1">
      <protection hidden="1"/>
    </xf>
    <xf numFmtId="0" fontId="2" fillId="0" borderId="26" xfId="0" applyFont="1" applyBorder="1" applyAlignment="1" applyProtection="1">
      <alignment horizontal="left"/>
      <protection hidden="1"/>
    </xf>
    <xf numFmtId="0" fontId="20" fillId="0" borderId="27"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164" fontId="20" fillId="0" borderId="0" xfId="0" applyNumberFormat="1" applyFont="1" applyAlignment="1" applyProtection="1">
      <alignment vertical="center"/>
      <protection hidden="1"/>
    </xf>
    <xf numFmtId="164" fontId="20" fillId="0" borderId="0" xfId="0" applyNumberFormat="1" applyFont="1" applyAlignment="1" applyProtection="1">
      <alignment horizontal="center" vertical="center" shrinkToFit="1"/>
      <protection hidden="1"/>
    </xf>
    <xf numFmtId="164" fontId="2" fillId="0" borderId="0" xfId="0" applyNumberFormat="1" applyFont="1" applyAlignment="1" applyProtection="1">
      <alignment horizontal="left" vertical="center"/>
      <protection hidden="1"/>
    </xf>
    <xf numFmtId="164" fontId="20" fillId="0" borderId="0" xfId="0" applyNumberFormat="1" applyFont="1" applyAlignment="1" applyProtection="1">
      <alignment horizontal="left" vertical="center"/>
      <protection hidden="1"/>
    </xf>
    <xf numFmtId="164" fontId="20"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164" fontId="20" fillId="0" borderId="0" xfId="0" applyNumberFormat="1" applyFont="1" applyAlignment="1" applyProtection="1">
      <alignment horizontal="right" vertical="center" shrinkToFit="1"/>
      <protection hidden="1"/>
    </xf>
    <xf numFmtId="0" fontId="18" fillId="0" borderId="0" xfId="0" applyFont="1" applyAlignment="1" applyProtection="1">
      <alignment horizontal="center" vertical="center"/>
      <protection hidden="1"/>
    </xf>
    <xf numFmtId="164" fontId="2" fillId="0" borderId="0" xfId="0" applyNumberFormat="1" applyFont="1" applyAlignment="1" applyProtection="1">
      <alignment horizontal="left"/>
      <protection hidden="1"/>
    </xf>
    <xf numFmtId="0" fontId="14" fillId="0" borderId="0" xfId="0" applyFont="1" applyAlignment="1" applyProtection="1">
      <alignment horizontal="right"/>
      <protection hidden="1"/>
    </xf>
    <xf numFmtId="0" fontId="2" fillId="0" borderId="14" xfId="0" applyFont="1" applyBorder="1" applyAlignment="1" applyProtection="1">
      <alignment horizontal="center"/>
      <protection hidden="1"/>
    </xf>
    <xf numFmtId="0" fontId="2" fillId="0" borderId="16" xfId="0" applyFont="1" applyBorder="1" applyAlignment="1" applyProtection="1">
      <alignment horizontal="center"/>
      <protection hidden="1"/>
    </xf>
    <xf numFmtId="164" fontId="20" fillId="0" borderId="8" xfId="0" applyNumberFormat="1" applyFont="1" applyBorder="1" applyAlignment="1" applyProtection="1">
      <alignment horizontal="center" vertical="center" shrinkToFit="1"/>
      <protection hidden="1"/>
    </xf>
    <xf numFmtId="0" fontId="2" fillId="0" borderId="11" xfId="0" applyFont="1" applyBorder="1" applyAlignment="1" applyProtection="1">
      <alignment horizontal="left"/>
      <protection hidden="1"/>
    </xf>
    <xf numFmtId="164" fontId="20" fillId="0" borderId="12" xfId="0" applyNumberFormat="1" applyFont="1" applyBorder="1" applyAlignment="1" applyProtection="1">
      <alignment horizontal="center" vertical="center" shrinkToFit="1"/>
      <protection hidden="1"/>
    </xf>
    <xf numFmtId="2" fontId="20" fillId="0" borderId="13" xfId="0" applyNumberFormat="1" applyFont="1" applyBorder="1" applyAlignment="1" applyProtection="1">
      <alignment horizontal="center" vertical="center" shrinkToFit="1"/>
      <protection hidden="1"/>
    </xf>
    <xf numFmtId="0" fontId="21" fillId="0" borderId="0" xfId="0" applyFont="1" applyAlignment="1" applyProtection="1">
      <alignment horizontal="left"/>
      <protection hidden="1"/>
    </xf>
    <xf numFmtId="166" fontId="2" fillId="0" borderId="0" xfId="0" applyNumberFormat="1" applyFont="1" applyProtection="1">
      <protection hidden="1"/>
    </xf>
    <xf numFmtId="2" fontId="0" fillId="0" borderId="0" xfId="0" applyNumberFormat="1" applyProtection="1">
      <protection hidden="1"/>
    </xf>
    <xf numFmtId="0" fontId="30" fillId="0" borderId="0" xfId="0" applyFont="1" applyFill="1" applyBorder="1" applyAlignment="1" applyProtection="1">
      <alignment horizontal="center"/>
      <protection locked="0" hidden="1"/>
    </xf>
    <xf numFmtId="164" fontId="27" fillId="0" borderId="0" xfId="0" applyNumberFormat="1" applyFont="1" applyFill="1" applyBorder="1" applyAlignment="1" applyProtection="1">
      <alignment horizontal="center"/>
      <protection locked="0" hidden="1"/>
    </xf>
    <xf numFmtId="0" fontId="0" fillId="2" borderId="0" xfId="0" applyFill="1" applyProtection="1">
      <protection hidden="1"/>
    </xf>
    <xf numFmtId="0" fontId="2" fillId="2" borderId="0" xfId="0" applyFont="1" applyFill="1" applyProtection="1">
      <protection hidden="1"/>
    </xf>
    <xf numFmtId="0" fontId="33" fillId="0" borderId="0" xfId="0" applyFont="1" applyFill="1" applyAlignment="1" applyProtection="1">
      <alignment vertical="top"/>
      <protection hidden="1"/>
    </xf>
    <xf numFmtId="0" fontId="6" fillId="0" borderId="0" xfId="0" applyFont="1" applyBorder="1" applyAlignment="1" applyProtection="1">
      <alignment horizontal="center"/>
      <protection hidden="1"/>
    </xf>
    <xf numFmtId="0" fontId="6" fillId="2" borderId="0" xfId="0" applyFont="1" applyFill="1" applyBorder="1" applyAlignment="1" applyProtection="1">
      <alignment horizontal="center"/>
      <protection hidden="1"/>
    </xf>
    <xf numFmtId="0" fontId="6" fillId="0" borderId="28" xfId="0" applyFont="1" applyBorder="1" applyAlignment="1" applyProtection="1">
      <alignment horizontal="center"/>
      <protection hidden="1"/>
    </xf>
    <xf numFmtId="0" fontId="0" fillId="0" borderId="28" xfId="0" applyBorder="1" applyProtection="1">
      <protection hidden="1"/>
    </xf>
    <xf numFmtId="0" fontId="8" fillId="0" borderId="0" xfId="0" applyFont="1" applyFill="1" applyAlignment="1" applyProtection="1">
      <alignment horizontal="center" vertical="center"/>
      <protection hidden="1"/>
    </xf>
    <xf numFmtId="0" fontId="0" fillId="0" borderId="0" xfId="0" applyFill="1" applyProtection="1">
      <protection hidden="1"/>
    </xf>
    <xf numFmtId="0" fontId="36" fillId="0" borderId="0" xfId="0" applyFont="1" applyFill="1" applyBorder="1" applyProtection="1">
      <protection hidden="1"/>
    </xf>
    <xf numFmtId="0" fontId="36" fillId="0" borderId="0" xfId="0" applyFont="1" applyFill="1" applyBorder="1" applyAlignment="1" applyProtection="1">
      <alignment horizontal="center"/>
      <protection hidden="1"/>
    </xf>
    <xf numFmtId="0" fontId="36" fillId="0" borderId="28" xfId="0" applyFont="1" applyFill="1" applyBorder="1" applyProtection="1">
      <protection hidden="1"/>
    </xf>
    <xf numFmtId="0" fontId="36" fillId="0" borderId="0" xfId="0" applyFont="1" applyProtection="1">
      <protection hidden="1"/>
    </xf>
    <xf numFmtId="0" fontId="37" fillId="0" borderId="0" xfId="0" applyFont="1" applyFill="1" applyBorder="1" applyProtection="1">
      <protection hidden="1"/>
    </xf>
    <xf numFmtId="0" fontId="37" fillId="0" borderId="0" xfId="0" applyFont="1" applyFill="1" applyBorder="1" applyProtection="1">
      <protection locked="0" hidden="1"/>
    </xf>
    <xf numFmtId="0" fontId="37" fillId="0" borderId="0" xfId="0" applyFont="1" applyFill="1" applyBorder="1" applyAlignment="1" applyProtection="1">
      <alignment horizontal="center"/>
      <protection locked="0" hidden="1"/>
    </xf>
    <xf numFmtId="0" fontId="37" fillId="0" borderId="0" xfId="0" applyFont="1" applyFill="1" applyBorder="1" applyAlignment="1" applyProtection="1">
      <alignment horizontal="center"/>
      <protection hidden="1"/>
    </xf>
    <xf numFmtId="164" fontId="37" fillId="0" borderId="0" xfId="0" applyNumberFormat="1" applyFont="1" applyFill="1" applyBorder="1" applyProtection="1">
      <protection hidden="1"/>
    </xf>
    <xf numFmtId="0" fontId="38" fillId="0" borderId="0" xfId="0" applyFont="1" applyFill="1" applyBorder="1" applyProtection="1">
      <protection hidden="1"/>
    </xf>
    <xf numFmtId="0" fontId="37" fillId="0" borderId="0" xfId="0" applyFont="1" applyFill="1" applyBorder="1" applyAlignment="1" applyProtection="1">
      <alignment horizontal="right"/>
      <protection hidden="1"/>
    </xf>
    <xf numFmtId="0" fontId="39" fillId="0" borderId="0" xfId="0" applyFont="1" applyFill="1" applyBorder="1" applyAlignment="1" applyProtection="1">
      <alignment horizontal="left"/>
      <protection hidden="1"/>
    </xf>
    <xf numFmtId="0" fontId="39" fillId="0" borderId="0" xfId="0" applyFont="1" applyFill="1" applyBorder="1" applyAlignment="1" applyProtection="1">
      <alignment horizontal="center"/>
      <protection hidden="1"/>
    </xf>
    <xf numFmtId="0" fontId="39" fillId="0" borderId="0" xfId="0" applyFont="1" applyFill="1" applyBorder="1" applyAlignment="1" applyProtection="1">
      <alignment horizontal="right"/>
      <protection hidden="1"/>
    </xf>
    <xf numFmtId="0" fontId="39" fillId="0" borderId="0" xfId="0" applyFont="1" applyFill="1" applyBorder="1" applyProtection="1">
      <protection hidden="1"/>
    </xf>
    <xf numFmtId="2" fontId="39" fillId="0" borderId="0" xfId="0" applyNumberFormat="1" applyFont="1" applyFill="1" applyBorder="1" applyAlignment="1" applyProtection="1">
      <alignment horizontal="center"/>
      <protection hidden="1"/>
    </xf>
    <xf numFmtId="0" fontId="37" fillId="0" borderId="28" xfId="0" applyFont="1" applyFill="1" applyBorder="1" applyProtection="1">
      <protection hidden="1"/>
    </xf>
    <xf numFmtId="0" fontId="37" fillId="0" borderId="28" xfId="0" applyFont="1" applyFill="1" applyBorder="1" applyProtection="1">
      <protection locked="0" hidden="1"/>
    </xf>
    <xf numFmtId="0" fontId="37" fillId="0" borderId="28" xfId="0" applyFont="1" applyFill="1" applyBorder="1" applyAlignment="1" applyProtection="1">
      <alignment horizontal="right"/>
      <protection hidden="1"/>
    </xf>
    <xf numFmtId="0" fontId="39" fillId="0" borderId="28" xfId="0" applyFont="1" applyFill="1" applyBorder="1" applyProtection="1">
      <protection hidden="1"/>
    </xf>
    <xf numFmtId="0" fontId="39" fillId="0" borderId="28" xfId="0" applyFont="1" applyFill="1" applyBorder="1" applyAlignment="1" applyProtection="1">
      <alignment horizontal="center"/>
      <protection hidden="1"/>
    </xf>
    <xf numFmtId="0" fontId="39" fillId="0" borderId="28" xfId="0" applyFont="1" applyFill="1" applyBorder="1" applyAlignment="1" applyProtection="1">
      <alignment horizontal="left"/>
      <protection hidden="1"/>
    </xf>
    <xf numFmtId="0" fontId="37" fillId="0" borderId="0" xfId="0" applyFont="1" applyFill="1" applyBorder="1" applyAlignment="1" applyProtection="1">
      <alignment horizontal="left"/>
      <protection hidden="1"/>
    </xf>
    <xf numFmtId="44" fontId="37" fillId="0" borderId="0" xfId="1" applyFont="1" applyFill="1" applyBorder="1" applyAlignment="1" applyProtection="1">
      <alignment horizontal="center"/>
      <protection hidden="1"/>
    </xf>
    <xf numFmtId="0" fontId="37" fillId="0" borderId="28" xfId="0" applyFont="1" applyFill="1" applyBorder="1" applyAlignment="1" applyProtection="1">
      <alignment horizontal="left"/>
      <protection hidden="1"/>
    </xf>
    <xf numFmtId="164" fontId="41" fillId="0" borderId="28" xfId="0" applyNumberFormat="1" applyFont="1" applyFill="1" applyBorder="1" applyProtection="1">
      <protection hidden="1"/>
    </xf>
    <xf numFmtId="164" fontId="41" fillId="0" borderId="28" xfId="0" applyNumberFormat="1" applyFont="1" applyFill="1" applyBorder="1" applyAlignment="1" applyProtection="1">
      <alignment horizontal="center"/>
      <protection hidden="1"/>
    </xf>
    <xf numFmtId="164" fontId="39" fillId="0" borderId="0" xfId="0" applyNumberFormat="1" applyFont="1" applyFill="1" applyBorder="1" applyAlignment="1" applyProtection="1">
      <alignment horizontal="left" vertical="center"/>
      <protection hidden="1"/>
    </xf>
    <xf numFmtId="164" fontId="42" fillId="0" borderId="0" xfId="0" applyNumberFormat="1" applyFont="1" applyFill="1" applyBorder="1" applyAlignment="1" applyProtection="1">
      <alignment horizontal="left" vertical="center"/>
      <protection hidden="1"/>
    </xf>
    <xf numFmtId="164" fontId="39" fillId="0" borderId="0" xfId="0" applyNumberFormat="1" applyFont="1" applyFill="1" applyBorder="1" applyAlignment="1" applyProtection="1">
      <alignment horizontal="center"/>
      <protection hidden="1"/>
    </xf>
    <xf numFmtId="0" fontId="39" fillId="0" borderId="28" xfId="0" applyFont="1" applyFill="1" applyBorder="1" applyAlignment="1" applyProtection="1">
      <alignment horizontal="right"/>
      <protection hidden="1"/>
    </xf>
    <xf numFmtId="0" fontId="39" fillId="0" borderId="28" xfId="0" applyFont="1" applyFill="1" applyBorder="1" applyAlignment="1" applyProtection="1">
      <alignment horizontal="right" vertical="center"/>
      <protection hidden="1"/>
    </xf>
    <xf numFmtId="164" fontId="39" fillId="0" borderId="28" xfId="0" applyNumberFormat="1" applyFont="1" applyFill="1" applyBorder="1" applyAlignment="1" applyProtection="1">
      <alignment horizontal="right"/>
      <protection hidden="1"/>
    </xf>
    <xf numFmtId="164" fontId="39" fillId="0" borderId="28" xfId="0" applyNumberFormat="1" applyFont="1" applyFill="1" applyBorder="1" applyAlignment="1" applyProtection="1">
      <alignment horizontal="left"/>
      <protection hidden="1"/>
    </xf>
    <xf numFmtId="164" fontId="39" fillId="0" borderId="0" xfId="0" applyNumberFormat="1" applyFont="1" applyFill="1" applyBorder="1" applyAlignment="1" applyProtection="1">
      <alignment horizontal="left"/>
      <protection hidden="1"/>
    </xf>
    <xf numFmtId="164" fontId="41" fillId="0" borderId="0" xfId="0" applyNumberFormat="1" applyFont="1" applyFill="1" applyBorder="1" applyAlignment="1" applyProtection="1">
      <alignment horizontal="left"/>
      <protection hidden="1"/>
    </xf>
    <xf numFmtId="165" fontId="39" fillId="0" borderId="0" xfId="0" applyNumberFormat="1" applyFont="1" applyFill="1" applyBorder="1" applyAlignment="1" applyProtection="1">
      <alignment horizontal="left"/>
      <protection hidden="1"/>
    </xf>
    <xf numFmtId="0" fontId="25" fillId="0" borderId="0" xfId="2" applyFont="1" applyFill="1" applyAlignment="1" applyProtection="1">
      <alignment horizontal="center"/>
      <protection hidden="1"/>
    </xf>
    <xf numFmtId="0" fontId="33" fillId="2" borderId="0" xfId="0" applyFont="1" applyFill="1" applyAlignment="1" applyProtection="1">
      <alignment horizontal="center"/>
      <protection hidden="1"/>
    </xf>
    <xf numFmtId="0" fontId="2" fillId="2" borderId="29" xfId="0" applyFont="1" applyFill="1" applyBorder="1" applyAlignment="1" applyProtection="1">
      <alignment horizontal="center"/>
      <protection hidden="1"/>
    </xf>
    <xf numFmtId="0" fontId="2" fillId="2" borderId="30" xfId="0" applyFont="1" applyFill="1" applyBorder="1" applyAlignment="1" applyProtection="1">
      <alignment horizontal="center"/>
      <protection hidden="1"/>
    </xf>
    <xf numFmtId="0" fontId="2" fillId="2" borderId="31" xfId="0" applyFont="1" applyFill="1" applyBorder="1" applyAlignment="1" applyProtection="1">
      <alignment horizontal="center"/>
      <protection hidden="1"/>
    </xf>
    <xf numFmtId="0" fontId="2" fillId="0" borderId="32" xfId="0" applyFont="1" applyBorder="1" applyAlignment="1" applyProtection="1">
      <alignment horizontal="center"/>
      <protection hidden="1"/>
    </xf>
    <xf numFmtId="0" fontId="2" fillId="0" borderId="21" xfId="0" applyFont="1" applyBorder="1" applyAlignment="1" applyProtection="1">
      <alignment horizontal="center"/>
      <protection hidden="1"/>
    </xf>
    <xf numFmtId="0" fontId="25" fillId="0" borderId="0" xfId="2" applyFont="1" applyFill="1" applyAlignment="1" applyProtection="1">
      <alignment horizontal="center"/>
      <protection locked="0" hidden="1"/>
    </xf>
    <xf numFmtId="0" fontId="8" fillId="2" borderId="0" xfId="0" applyFont="1" applyFill="1" applyAlignment="1" applyProtection="1">
      <alignment horizontal="center" vertical="center"/>
      <protection hidden="1"/>
    </xf>
    <xf numFmtId="0" fontId="23" fillId="0" borderId="0" xfId="2" applyFont="1" applyFill="1" applyAlignment="1" applyProtection="1">
      <alignment horizontal="right"/>
      <protection locked="0" hidden="1"/>
    </xf>
    <xf numFmtId="0" fontId="23" fillId="0" borderId="0" xfId="2" applyFill="1" applyAlignment="1" applyProtection="1">
      <alignment horizontal="right"/>
      <protection locked="0" hidden="1"/>
    </xf>
    <xf numFmtId="0" fontId="35" fillId="3" borderId="0" xfId="0" applyFont="1" applyFill="1" applyAlignment="1" applyProtection="1">
      <alignment horizontal="center" wrapText="1"/>
      <protection hidden="1"/>
    </xf>
    <xf numFmtId="0" fontId="6" fillId="2" borderId="0" xfId="0" applyFont="1" applyFill="1" applyAlignment="1" applyProtection="1">
      <alignment horizontal="center" wrapText="1"/>
      <protection hidden="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a:t>Annie's Preferences</a:t>
            </a:r>
          </a:p>
        </c:rich>
      </c:tx>
      <c:layout>
        <c:manualLayout>
          <c:xMode val="edge"/>
          <c:yMode val="edge"/>
          <c:x val="0.34459459459459457"/>
          <c:y val="3.5714285714285712E-2"/>
        </c:manualLayout>
      </c:layout>
      <c:overlay val="0"/>
      <c:spPr>
        <a:noFill/>
        <a:ln w="25400">
          <a:noFill/>
        </a:ln>
      </c:spPr>
    </c:title>
    <c:autoTitleDeleted val="0"/>
    <c:plotArea>
      <c:layout>
        <c:manualLayout>
          <c:layoutTarget val="inner"/>
          <c:xMode val="edge"/>
          <c:yMode val="edge"/>
          <c:x val="0.10360383147661413"/>
          <c:y val="7.7381177284392685E-2"/>
          <c:w val="0.83783968063696646"/>
          <c:h val="0.79166896760186356"/>
        </c:manualLayout>
      </c:layout>
      <c:scatterChart>
        <c:scatterStyle val="smoothMarker"/>
        <c:varyColors val="0"/>
        <c:ser>
          <c:idx val="0"/>
          <c:order val="0"/>
          <c:tx>
            <c:strRef>
              <c:f>data!$F$12</c:f>
              <c:strCache>
                <c:ptCount val="1"/>
                <c:pt idx="0">
                  <c:v>2Ua0</c:v>
                </c:pt>
              </c:strCache>
            </c:strRef>
          </c:tx>
          <c:spPr>
            <a:ln w="25400">
              <a:solidFill>
                <a:srgbClr val="FF00FF"/>
              </a:solidFill>
              <a:prstDash val="solid"/>
            </a:ln>
          </c:spPr>
          <c:marker>
            <c:symbol val="none"/>
          </c:marker>
          <c:xVal>
            <c:numRef>
              <c:f>data!$B$16:$B$34</c:f>
              <c:numCache>
                <c:formatCode>General</c:formatCode>
                <c:ptCount val="19"/>
                <c:pt idx="0">
                  <c:v>5</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145</c:v>
                </c:pt>
                <c:pt idx="16">
                  <c:v>150</c:v>
                </c:pt>
                <c:pt idx="17">
                  <c:v>160</c:v>
                </c:pt>
                <c:pt idx="18">
                  <c:v>170</c:v>
                </c:pt>
              </c:numCache>
            </c:numRef>
          </c:xVal>
          <c:yVal>
            <c:numRef>
              <c:f>data!$F$16:$F$34</c:f>
              <c:numCache>
                <c:formatCode>General</c:formatCode>
                <c:ptCount val="19"/>
                <c:pt idx="0">
                  <c:v>839.99999999999977</c:v>
                </c:pt>
                <c:pt idx="1">
                  <c:v>419.99999999999994</c:v>
                </c:pt>
                <c:pt idx="2">
                  <c:v>209.99999999999994</c:v>
                </c:pt>
                <c:pt idx="3">
                  <c:v>139.99999999999997</c:v>
                </c:pt>
                <c:pt idx="4">
                  <c:v>104.99999999999999</c:v>
                </c:pt>
                <c:pt idx="5">
                  <c:v>84</c:v>
                </c:pt>
                <c:pt idx="6">
                  <c:v>69.999999999999972</c:v>
                </c:pt>
                <c:pt idx="7">
                  <c:v>59.999999999999993</c:v>
                </c:pt>
                <c:pt idx="8">
                  <c:v>52.499999999999986</c:v>
                </c:pt>
                <c:pt idx="9">
                  <c:v>46.66666666666665</c:v>
                </c:pt>
                <c:pt idx="10">
                  <c:v>42</c:v>
                </c:pt>
                <c:pt idx="11">
                  <c:v>38.181818181818173</c:v>
                </c:pt>
                <c:pt idx="12">
                  <c:v>34.999999999999993</c:v>
                </c:pt>
                <c:pt idx="13">
                  <c:v>32.307692307692307</c:v>
                </c:pt>
                <c:pt idx="14">
                  <c:v>29.999999999999989</c:v>
                </c:pt>
                <c:pt idx="15">
                  <c:v>28.96551724137931</c:v>
                </c:pt>
                <c:pt idx="16">
                  <c:v>28.000000000000004</c:v>
                </c:pt>
                <c:pt idx="17">
                  <c:v>26.249999999999996</c:v>
                </c:pt>
                <c:pt idx="18">
                  <c:v>24.705882352941163</c:v>
                </c:pt>
              </c:numCache>
            </c:numRef>
          </c:yVal>
          <c:smooth val="1"/>
        </c:ser>
        <c:ser>
          <c:idx val="1"/>
          <c:order val="1"/>
          <c:tx>
            <c:strRef>
              <c:f>'15-17,2GraphBarter'!$B$50</c:f>
              <c:strCache>
                <c:ptCount val="1"/>
                <c:pt idx="0">
                  <c:v>2endowA</c:v>
                </c:pt>
              </c:strCache>
            </c:strRef>
          </c:tx>
          <c:spPr>
            <a:ln w="25400">
              <a:solidFill>
                <a:srgbClr val="FF6600"/>
              </a:solidFill>
              <a:prstDash val="sysDash"/>
            </a:ln>
          </c:spPr>
          <c:marker>
            <c:symbol val="none"/>
          </c:marker>
          <c:xVal>
            <c:numRef>
              <c:f>'15-17,2GraphBarter'!$A$51:$A$55</c:f>
              <c:numCache>
                <c:formatCode>General</c:formatCode>
                <c:ptCount val="5"/>
                <c:pt idx="0">
                  <c:v>0</c:v>
                </c:pt>
                <c:pt idx="1">
                  <c:v>40</c:v>
                </c:pt>
                <c:pt idx="2">
                  <c:v>40</c:v>
                </c:pt>
                <c:pt idx="3">
                  <c:v>40</c:v>
                </c:pt>
                <c:pt idx="4">
                  <c:v>40</c:v>
                </c:pt>
              </c:numCache>
            </c:numRef>
          </c:xVal>
          <c:yVal>
            <c:numRef>
              <c:f>'15-17,2GraphBarter'!$B$51:$B$55</c:f>
              <c:numCache>
                <c:formatCode>General</c:formatCode>
                <c:ptCount val="5"/>
                <c:pt idx="0">
                  <c:v>105</c:v>
                </c:pt>
                <c:pt idx="1">
                  <c:v>105</c:v>
                </c:pt>
                <c:pt idx="2">
                  <c:v>105</c:v>
                </c:pt>
                <c:pt idx="3">
                  <c:v>0</c:v>
                </c:pt>
                <c:pt idx="4">
                  <c:v>0</c:v>
                </c:pt>
              </c:numCache>
            </c:numRef>
          </c:yVal>
          <c:smooth val="1"/>
        </c:ser>
        <c:ser>
          <c:idx val="2"/>
          <c:order val="2"/>
          <c:tx>
            <c:strRef>
              <c:f>'15-17,2GraphBarter'!$F$50</c:f>
              <c:strCache>
                <c:ptCount val="1"/>
                <c:pt idx="0">
                  <c:v>2EndowARay</c:v>
                </c:pt>
              </c:strCache>
            </c:strRef>
          </c:tx>
          <c:spPr>
            <a:ln w="25400">
              <a:solidFill>
                <a:srgbClr val="FF0000"/>
              </a:solidFill>
              <a:prstDash val="sysDash"/>
              <a:tailEnd type="stealth" w="lg" len="lg"/>
            </a:ln>
          </c:spPr>
          <c:marker>
            <c:symbol val="none"/>
          </c:marker>
          <c:xVal>
            <c:numRef>
              <c:f>'15-17,2GraphBarter'!$E$51:$E$52</c:f>
              <c:numCache>
                <c:formatCode>General</c:formatCode>
                <c:ptCount val="2"/>
                <c:pt idx="0">
                  <c:v>0</c:v>
                </c:pt>
                <c:pt idx="1">
                  <c:v>40</c:v>
                </c:pt>
              </c:numCache>
            </c:numRef>
          </c:xVal>
          <c:yVal>
            <c:numRef>
              <c:f>'15-17,2GraphBarter'!$F$51:$F$52</c:f>
              <c:numCache>
                <c:formatCode>General</c:formatCode>
                <c:ptCount val="2"/>
                <c:pt idx="0">
                  <c:v>-100</c:v>
                </c:pt>
                <c:pt idx="1">
                  <c:v>-10500</c:v>
                </c:pt>
              </c:numCache>
            </c:numRef>
          </c:yVal>
          <c:smooth val="1"/>
        </c:ser>
        <c:ser>
          <c:idx val="3"/>
          <c:order val="3"/>
          <c:tx>
            <c:strRef>
              <c:f>'15-17,2GraphBarter'!$J$50</c:f>
              <c:strCache>
                <c:ptCount val="1"/>
                <c:pt idx="0">
                  <c:v>2EndowBRayinA</c:v>
                </c:pt>
              </c:strCache>
            </c:strRef>
          </c:tx>
          <c:spPr>
            <a:ln w="25400">
              <a:solidFill>
                <a:srgbClr val="33CCCC"/>
              </a:solidFill>
              <a:prstDash val="sysDash"/>
              <a:tailEnd type="stealth" w="lg" len="lg"/>
            </a:ln>
          </c:spPr>
          <c:marker>
            <c:symbol val="none"/>
          </c:marker>
          <c:xVal>
            <c:numRef>
              <c:f>'15-17,2GraphBarter'!$I$51:$I$52</c:f>
              <c:numCache>
                <c:formatCode>General</c:formatCode>
                <c:ptCount val="2"/>
                <c:pt idx="0">
                  <c:v>40</c:v>
                </c:pt>
                <c:pt idx="1">
                  <c:v>150</c:v>
                </c:pt>
              </c:numCache>
            </c:numRef>
          </c:xVal>
          <c:yVal>
            <c:numRef>
              <c:f>'15-17,2GraphBarter'!$J$51:$J$52</c:f>
              <c:numCache>
                <c:formatCode>General</c:formatCode>
                <c:ptCount val="2"/>
                <c:pt idx="0">
                  <c:v>-10500</c:v>
                </c:pt>
                <c:pt idx="1">
                  <c:v>-14000</c:v>
                </c:pt>
              </c:numCache>
            </c:numRef>
          </c:yVal>
          <c:smooth val="1"/>
        </c:ser>
        <c:ser>
          <c:idx val="4"/>
          <c:order val="4"/>
          <c:tx>
            <c:strRef>
              <c:f>'15-17,2GraphBarter'!$L$50</c:f>
              <c:strCache>
                <c:ptCount val="1"/>
                <c:pt idx="0">
                  <c:v>2box top</c:v>
                </c:pt>
              </c:strCache>
            </c:strRef>
          </c:tx>
          <c:spPr>
            <a:ln w="12700">
              <a:solidFill>
                <a:srgbClr val="800080"/>
              </a:solidFill>
              <a:prstDash val="solid"/>
            </a:ln>
          </c:spPr>
          <c:marker>
            <c:symbol val="none"/>
          </c:marker>
          <c:xVal>
            <c:numRef>
              <c:f>'15-17,2GraphBarter'!$K$51:$K$55</c:f>
              <c:numCache>
                <c:formatCode>General</c:formatCode>
                <c:ptCount val="5"/>
                <c:pt idx="0">
                  <c:v>0</c:v>
                </c:pt>
                <c:pt idx="1">
                  <c:v>150</c:v>
                </c:pt>
                <c:pt idx="2">
                  <c:v>150</c:v>
                </c:pt>
                <c:pt idx="3">
                  <c:v>150</c:v>
                </c:pt>
                <c:pt idx="4">
                  <c:v>150</c:v>
                </c:pt>
              </c:numCache>
            </c:numRef>
          </c:xVal>
          <c:yVal>
            <c:numRef>
              <c:f>'15-17,2GraphBarter'!$L$51:$L$55</c:f>
              <c:numCache>
                <c:formatCode>General</c:formatCode>
                <c:ptCount val="5"/>
                <c:pt idx="0">
                  <c:v>0</c:v>
                </c:pt>
                <c:pt idx="1">
                  <c:v>0</c:v>
                </c:pt>
                <c:pt idx="2">
                  <c:v>0</c:v>
                </c:pt>
                <c:pt idx="3">
                  <c:v>0</c:v>
                </c:pt>
                <c:pt idx="4">
                  <c:v>0</c:v>
                </c:pt>
              </c:numCache>
            </c:numRef>
          </c:yVal>
          <c:smooth val="1"/>
        </c:ser>
        <c:ser>
          <c:idx val="5"/>
          <c:order val="5"/>
          <c:tx>
            <c:strRef>
              <c:f>data!$W$38</c:f>
              <c:strCache>
                <c:ptCount val="1"/>
                <c:pt idx="0">
                  <c:v>BarterXY</c:v>
                </c:pt>
              </c:strCache>
            </c:strRef>
          </c:tx>
          <c:spPr>
            <a:ln w="25400">
              <a:solidFill>
                <a:srgbClr val="800080"/>
              </a:solidFill>
              <a:prstDash val="solid"/>
              <a:tailEnd type="stealth" w="lg" len="lg"/>
            </a:ln>
          </c:spPr>
          <c:marker>
            <c:symbol val="diamond"/>
            <c:size val="5"/>
            <c:spPr>
              <a:solidFill>
                <a:srgbClr val="800080"/>
              </a:solidFill>
              <a:ln>
                <a:solidFill>
                  <a:srgbClr val="800080"/>
                </a:solidFill>
                <a:prstDash val="solid"/>
              </a:ln>
            </c:spPr>
          </c:marker>
          <c:xVal>
            <c:numRef>
              <c:f>data!$V$39:$V$40</c:f>
              <c:numCache>
                <c:formatCode>0.0</c:formatCode>
                <c:ptCount val="2"/>
                <c:pt idx="0" formatCode="General">
                  <c:v>40</c:v>
                </c:pt>
                <c:pt idx="1">
                  <c:v>50</c:v>
                </c:pt>
              </c:numCache>
            </c:numRef>
          </c:xVal>
          <c:yVal>
            <c:numRef>
              <c:f>data!$W$39:$W$40</c:f>
              <c:numCache>
                <c:formatCode>0.0</c:formatCode>
                <c:ptCount val="2"/>
                <c:pt idx="0" formatCode="General">
                  <c:v>105</c:v>
                </c:pt>
                <c:pt idx="1">
                  <c:v>95.025000000000006</c:v>
                </c:pt>
              </c:numCache>
            </c:numRef>
          </c:yVal>
          <c:smooth val="1"/>
        </c:ser>
        <c:ser>
          <c:idx val="6"/>
          <c:order val="6"/>
          <c:tx>
            <c:strRef>
              <c:f>data!$E$12</c:f>
              <c:strCache>
                <c:ptCount val="1"/>
                <c:pt idx="0">
                  <c:v>UaBarter</c:v>
                </c:pt>
              </c:strCache>
            </c:strRef>
          </c:tx>
          <c:spPr>
            <a:ln w="25400">
              <a:solidFill>
                <a:srgbClr val="FF0000"/>
              </a:solidFill>
              <a:prstDash val="solid"/>
            </a:ln>
          </c:spPr>
          <c:marker>
            <c:symbol val="none"/>
          </c:marker>
          <c:xVal>
            <c:numRef>
              <c:f>data!$B$15:$B$34</c:f>
              <c:numCache>
                <c:formatCode>General</c:formatCode>
                <c:ptCount val="20"/>
                <c:pt idx="0">
                  <c:v>0</c:v>
                </c:pt>
                <c:pt idx="1">
                  <c:v>5</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145</c:v>
                </c:pt>
                <c:pt idx="17">
                  <c:v>150</c:v>
                </c:pt>
                <c:pt idx="18">
                  <c:v>160</c:v>
                </c:pt>
                <c:pt idx="19">
                  <c:v>170</c:v>
                </c:pt>
              </c:numCache>
            </c:numRef>
          </c:xVal>
          <c:yVal>
            <c:numRef>
              <c:f>data!$E$15:$E$34</c:f>
              <c:numCache>
                <c:formatCode>General</c:formatCode>
                <c:ptCount val="20"/>
                <c:pt idx="1">
                  <c:v>950.25000000000011</c:v>
                </c:pt>
                <c:pt idx="2">
                  <c:v>475.12500000000006</c:v>
                </c:pt>
                <c:pt idx="3">
                  <c:v>237.56250000000003</c:v>
                </c:pt>
                <c:pt idx="4">
                  <c:v>158.37500000000003</c:v>
                </c:pt>
                <c:pt idx="5">
                  <c:v>118.78125000000001</c:v>
                </c:pt>
                <c:pt idx="6">
                  <c:v>95.025000000000006</c:v>
                </c:pt>
                <c:pt idx="7">
                  <c:v>79.187499999999986</c:v>
                </c:pt>
                <c:pt idx="8">
                  <c:v>67.875</c:v>
                </c:pt>
                <c:pt idx="9">
                  <c:v>59.390625000000007</c:v>
                </c:pt>
                <c:pt idx="10">
                  <c:v>52.791666666666671</c:v>
                </c:pt>
                <c:pt idx="11">
                  <c:v>47.512500000000017</c:v>
                </c:pt>
                <c:pt idx="12">
                  <c:v>43.193181818181827</c:v>
                </c:pt>
                <c:pt idx="13">
                  <c:v>39.593750000000007</c:v>
                </c:pt>
                <c:pt idx="14">
                  <c:v>36.548076923076934</c:v>
                </c:pt>
                <c:pt idx="15">
                  <c:v>33.9375</c:v>
                </c:pt>
                <c:pt idx="16">
                  <c:v>32.767241379310349</c:v>
                </c:pt>
                <c:pt idx="17">
                  <c:v>31.675000000000011</c:v>
                </c:pt>
                <c:pt idx="18">
                  <c:v>29.695312500000004</c:v>
                </c:pt>
                <c:pt idx="19">
                  <c:v>27.948529411764703</c:v>
                </c:pt>
              </c:numCache>
            </c:numRef>
          </c:yVal>
          <c:smooth val="1"/>
        </c:ser>
        <c:ser>
          <c:idx val="7"/>
          <c:order val="7"/>
          <c:tx>
            <c:strRef>
              <c:f>data!$U$38</c:f>
              <c:strCache>
                <c:ptCount val="1"/>
                <c:pt idx="0">
                  <c:v>barter set</c:v>
                </c:pt>
              </c:strCache>
            </c:strRef>
          </c:tx>
          <c:spPr>
            <a:ln w="12700">
              <a:solidFill>
                <a:srgbClr val="800080"/>
              </a:solidFill>
              <a:prstDash val="solid"/>
            </a:ln>
          </c:spPr>
          <c:marker>
            <c:symbol val="none"/>
          </c:marker>
          <c:xVal>
            <c:numRef>
              <c:f>data!$T$39:$T$40</c:f>
              <c:numCache>
                <c:formatCode>0.0</c:formatCode>
                <c:ptCount val="2"/>
                <c:pt idx="0">
                  <c:v>50</c:v>
                </c:pt>
                <c:pt idx="1">
                  <c:v>50</c:v>
                </c:pt>
              </c:numCache>
            </c:numRef>
          </c:xVal>
          <c:yVal>
            <c:numRef>
              <c:f>data!$U$39:$U$40</c:f>
              <c:numCache>
                <c:formatCode>General</c:formatCode>
                <c:ptCount val="2"/>
                <c:pt idx="0">
                  <c:v>84</c:v>
                </c:pt>
                <c:pt idx="1">
                  <c:v>101.5</c:v>
                </c:pt>
              </c:numCache>
            </c:numRef>
          </c:yVal>
          <c:smooth val="1"/>
        </c:ser>
        <c:ser>
          <c:idx val="9"/>
          <c:order val="8"/>
          <c:tx>
            <c:strRef>
              <c:f>'15-17,2GraphBarter'!$F$61</c:f>
              <c:strCache>
                <c:ptCount val="1"/>
                <c:pt idx="0">
                  <c:v>AbarterX</c:v>
                </c:pt>
              </c:strCache>
            </c:strRef>
          </c:tx>
          <c:spPr>
            <a:ln w="25400">
              <a:solidFill>
                <a:srgbClr val="008000"/>
              </a:solidFill>
              <a:prstDash val="solid"/>
            </a:ln>
          </c:spPr>
          <c:marker>
            <c:symbol val="none"/>
          </c:marker>
          <c:xVal>
            <c:numRef>
              <c:f>'15-17,2GraphBarter'!$E$62:$E$63</c:f>
              <c:numCache>
                <c:formatCode>0.0</c:formatCode>
                <c:ptCount val="2"/>
                <c:pt idx="0" formatCode="General">
                  <c:v>40</c:v>
                </c:pt>
                <c:pt idx="1">
                  <c:v>50</c:v>
                </c:pt>
              </c:numCache>
            </c:numRef>
          </c:xVal>
          <c:yVal>
            <c:numRef>
              <c:f>'15-17,2GraphBarter'!$F$62:$F$63</c:f>
              <c:numCache>
                <c:formatCode>General</c:formatCode>
                <c:ptCount val="2"/>
                <c:pt idx="0">
                  <c:v>0</c:v>
                </c:pt>
                <c:pt idx="1">
                  <c:v>0</c:v>
                </c:pt>
              </c:numCache>
            </c:numRef>
          </c:yVal>
          <c:smooth val="1"/>
        </c:ser>
        <c:ser>
          <c:idx val="10"/>
          <c:order val="9"/>
          <c:tx>
            <c:strRef>
              <c:f>'15-17,2GraphBarter'!$H$61</c:f>
              <c:strCache>
                <c:ptCount val="1"/>
                <c:pt idx="0">
                  <c:v>AbarterY</c:v>
                </c:pt>
              </c:strCache>
            </c:strRef>
          </c:tx>
          <c:spPr>
            <a:ln w="25400">
              <a:solidFill>
                <a:srgbClr val="FFFF00"/>
              </a:solidFill>
              <a:prstDash val="solid"/>
            </a:ln>
          </c:spPr>
          <c:marker>
            <c:symbol val="none"/>
          </c:marker>
          <c:xVal>
            <c:numRef>
              <c:f>'15-17,2GraphBarter'!$G$62:$G$63</c:f>
              <c:numCache>
                <c:formatCode>General</c:formatCode>
                <c:ptCount val="2"/>
                <c:pt idx="0">
                  <c:v>40</c:v>
                </c:pt>
                <c:pt idx="1">
                  <c:v>40</c:v>
                </c:pt>
              </c:numCache>
            </c:numRef>
          </c:xVal>
          <c:yVal>
            <c:numRef>
              <c:f>'15-17,2GraphBarter'!$H$62:$H$63</c:f>
              <c:numCache>
                <c:formatCode>General</c:formatCode>
                <c:ptCount val="2"/>
                <c:pt idx="0">
                  <c:v>0</c:v>
                </c:pt>
                <c:pt idx="1">
                  <c:v>0</c:v>
                </c:pt>
              </c:numCache>
            </c:numRef>
          </c:yVal>
          <c:smooth val="1"/>
        </c:ser>
        <c:ser>
          <c:idx val="8"/>
          <c:order val="10"/>
          <c:tx>
            <c:strRef>
              <c:f>data!$W$54</c:f>
              <c:strCache>
                <c:ptCount val="1"/>
                <c:pt idx="0">
                  <c:v>solid X axis</c:v>
                </c:pt>
              </c:strCache>
            </c:strRef>
          </c:tx>
          <c:spPr>
            <a:ln w="38100">
              <a:solidFill>
                <a:srgbClr val="000000"/>
              </a:solidFill>
              <a:prstDash val="solid"/>
            </a:ln>
          </c:spPr>
          <c:marker>
            <c:symbol val="none"/>
          </c:marker>
          <c:xVal>
            <c:numRef>
              <c:f>data!$V$56:$V$57</c:f>
              <c:numCache>
                <c:formatCode>General</c:formatCode>
                <c:ptCount val="2"/>
                <c:pt idx="0">
                  <c:v>-20</c:v>
                </c:pt>
                <c:pt idx="1">
                  <c:v>170</c:v>
                </c:pt>
              </c:numCache>
            </c:numRef>
          </c:xVal>
          <c:yVal>
            <c:numRef>
              <c:f>data!$W$56:$W$57</c:f>
              <c:numCache>
                <c:formatCode>General</c:formatCode>
                <c:ptCount val="2"/>
                <c:pt idx="0">
                  <c:v>0</c:v>
                </c:pt>
                <c:pt idx="1">
                  <c:v>0</c:v>
                </c:pt>
              </c:numCache>
            </c:numRef>
          </c:yVal>
          <c:smooth val="1"/>
        </c:ser>
        <c:dLbls>
          <c:showLegendKey val="0"/>
          <c:showVal val="0"/>
          <c:showCatName val="0"/>
          <c:showSerName val="0"/>
          <c:showPercent val="0"/>
          <c:showBubbleSize val="0"/>
        </c:dLbls>
        <c:axId val="47435776"/>
        <c:axId val="47437312"/>
      </c:scatterChart>
      <c:valAx>
        <c:axId val="47435776"/>
        <c:scaling>
          <c:orientation val="minMax"/>
          <c:max val="170"/>
          <c:min val="0"/>
        </c:scaling>
        <c:delete val="0"/>
        <c:axPos val="b"/>
        <c:numFmt formatCode="General" sourceLinked="1"/>
        <c:majorTickMark val="out"/>
        <c:minorTickMark val="none"/>
        <c:tickLblPos val="nextTo"/>
        <c:spPr>
          <a:ln w="381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7437312"/>
        <c:crosses val="autoZero"/>
        <c:crossBetween val="midCat"/>
        <c:majorUnit val="20"/>
      </c:valAx>
      <c:valAx>
        <c:axId val="47437312"/>
        <c:scaling>
          <c:orientation val="minMax"/>
          <c:max val="150"/>
          <c:min val="0"/>
        </c:scaling>
        <c:delete val="0"/>
        <c:axPos val="l"/>
        <c:numFmt formatCode="General" sourceLinked="1"/>
        <c:majorTickMark val="out"/>
        <c:minorTickMark val="none"/>
        <c:tickLblPos val="nextTo"/>
        <c:spPr>
          <a:ln w="381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7435776"/>
        <c:crosses val="autoZero"/>
        <c:crossBetween val="midCat"/>
        <c:majorUnit val="20"/>
        <c:minorUnit val="1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a:t>Bob's Preferences</a:t>
            </a:r>
          </a:p>
        </c:rich>
      </c:tx>
      <c:layout>
        <c:manualLayout>
          <c:xMode val="edge"/>
          <c:yMode val="edge"/>
          <c:x val="0.35616438356164382"/>
          <c:y val="3.5714285714285712E-2"/>
        </c:manualLayout>
      </c:layout>
      <c:overlay val="0"/>
      <c:spPr>
        <a:noFill/>
        <a:ln w="25400">
          <a:noFill/>
        </a:ln>
      </c:spPr>
    </c:title>
    <c:autoTitleDeleted val="0"/>
    <c:plotArea>
      <c:layout>
        <c:manualLayout>
          <c:layoutTarget val="inner"/>
          <c:xMode val="edge"/>
          <c:yMode val="edge"/>
          <c:x val="0.10958928543558574"/>
          <c:y val="7.4404978158069887E-2"/>
          <c:w val="0.83105208121985863"/>
          <c:h val="0.79464516672818641"/>
        </c:manualLayout>
      </c:layout>
      <c:scatterChart>
        <c:scatterStyle val="smoothMarker"/>
        <c:varyColors val="0"/>
        <c:ser>
          <c:idx val="0"/>
          <c:order val="0"/>
          <c:tx>
            <c:strRef>
              <c:f>data!$H$12</c:f>
              <c:strCache>
                <c:ptCount val="1"/>
                <c:pt idx="0">
                  <c:v>2Ub0</c:v>
                </c:pt>
              </c:strCache>
            </c:strRef>
          </c:tx>
          <c:spPr>
            <a:ln w="25400">
              <a:solidFill>
                <a:srgbClr val="00CCFF"/>
              </a:solidFill>
              <a:prstDash val="solid"/>
            </a:ln>
          </c:spPr>
          <c:marker>
            <c:symbol val="none"/>
          </c:marker>
          <c:xVal>
            <c:numRef>
              <c:f>data!$B$15:$B$34</c:f>
              <c:numCache>
                <c:formatCode>General</c:formatCode>
                <c:ptCount val="20"/>
                <c:pt idx="0">
                  <c:v>0</c:v>
                </c:pt>
                <c:pt idx="1">
                  <c:v>5</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145</c:v>
                </c:pt>
                <c:pt idx="17">
                  <c:v>150</c:v>
                </c:pt>
                <c:pt idx="18">
                  <c:v>160</c:v>
                </c:pt>
                <c:pt idx="19">
                  <c:v>170</c:v>
                </c:pt>
              </c:numCache>
            </c:numRef>
          </c:xVal>
          <c:yVal>
            <c:numRef>
              <c:f>data!$H$15:$H$34</c:f>
              <c:numCache>
                <c:formatCode>General</c:formatCode>
                <c:ptCount val="20"/>
                <c:pt idx="1">
                  <c:v>770</c:v>
                </c:pt>
                <c:pt idx="2">
                  <c:v>385.00000000000011</c:v>
                </c:pt>
                <c:pt idx="3">
                  <c:v>192.5</c:v>
                </c:pt>
                <c:pt idx="4">
                  <c:v>128.33333333333331</c:v>
                </c:pt>
                <c:pt idx="5">
                  <c:v>96.250000000000028</c:v>
                </c:pt>
                <c:pt idx="6">
                  <c:v>77.000000000000014</c:v>
                </c:pt>
                <c:pt idx="7">
                  <c:v>64.166666666666643</c:v>
                </c:pt>
                <c:pt idx="8">
                  <c:v>55</c:v>
                </c:pt>
                <c:pt idx="9">
                  <c:v>48.125</c:v>
                </c:pt>
                <c:pt idx="10">
                  <c:v>42.777777777777779</c:v>
                </c:pt>
                <c:pt idx="11">
                  <c:v>38.5</c:v>
                </c:pt>
                <c:pt idx="12">
                  <c:v>35.000000000000014</c:v>
                </c:pt>
                <c:pt idx="13">
                  <c:v>32.083333333333329</c:v>
                </c:pt>
                <c:pt idx="14">
                  <c:v>29.61538461538462</c:v>
                </c:pt>
                <c:pt idx="15">
                  <c:v>27.5</c:v>
                </c:pt>
                <c:pt idx="16">
                  <c:v>26.551724137931036</c:v>
                </c:pt>
                <c:pt idx="17">
                  <c:v>25.666666666666671</c:v>
                </c:pt>
                <c:pt idx="18">
                  <c:v>24.062500000000007</c:v>
                </c:pt>
                <c:pt idx="19">
                  <c:v>22.647058823529409</c:v>
                </c:pt>
              </c:numCache>
            </c:numRef>
          </c:yVal>
          <c:smooth val="1"/>
        </c:ser>
        <c:ser>
          <c:idx val="1"/>
          <c:order val="1"/>
          <c:tx>
            <c:strRef>
              <c:f>'15-17,2GraphBarter'!$D$50</c:f>
              <c:strCache>
                <c:ptCount val="1"/>
                <c:pt idx="0">
                  <c:v>2endowB</c:v>
                </c:pt>
              </c:strCache>
            </c:strRef>
          </c:tx>
          <c:spPr>
            <a:ln w="25400">
              <a:solidFill>
                <a:srgbClr val="00CCFF"/>
              </a:solidFill>
              <a:prstDash val="sysDash"/>
            </a:ln>
          </c:spPr>
          <c:marker>
            <c:symbol val="square"/>
            <c:size val="2"/>
            <c:spPr>
              <a:noFill/>
              <a:ln w="9525">
                <a:noFill/>
              </a:ln>
            </c:spPr>
          </c:marker>
          <c:xVal>
            <c:numRef>
              <c:f>'15-17,2GraphBarter'!$C$51:$C$55</c:f>
              <c:numCache>
                <c:formatCode>General</c:formatCode>
                <c:ptCount val="5"/>
                <c:pt idx="0">
                  <c:v>0</c:v>
                </c:pt>
                <c:pt idx="1">
                  <c:v>110</c:v>
                </c:pt>
                <c:pt idx="2">
                  <c:v>110</c:v>
                </c:pt>
                <c:pt idx="3">
                  <c:v>110</c:v>
                </c:pt>
                <c:pt idx="4">
                  <c:v>110</c:v>
                </c:pt>
              </c:numCache>
            </c:numRef>
          </c:xVal>
          <c:yVal>
            <c:numRef>
              <c:f>'15-17,2GraphBarter'!$D$51:$D$55</c:f>
              <c:numCache>
                <c:formatCode>General</c:formatCode>
                <c:ptCount val="5"/>
                <c:pt idx="0">
                  <c:v>35</c:v>
                </c:pt>
                <c:pt idx="1">
                  <c:v>35</c:v>
                </c:pt>
                <c:pt idx="2">
                  <c:v>35</c:v>
                </c:pt>
                <c:pt idx="3">
                  <c:v>0</c:v>
                </c:pt>
                <c:pt idx="4">
                  <c:v>0</c:v>
                </c:pt>
              </c:numCache>
            </c:numRef>
          </c:yVal>
          <c:smooth val="1"/>
        </c:ser>
        <c:ser>
          <c:idx val="2"/>
          <c:order val="2"/>
          <c:tx>
            <c:strRef>
              <c:f>'15-17,2GraphBarter'!$H$50</c:f>
              <c:strCache>
                <c:ptCount val="1"/>
                <c:pt idx="0">
                  <c:v>2EndowBRay</c:v>
                </c:pt>
              </c:strCache>
            </c:strRef>
          </c:tx>
          <c:spPr>
            <a:ln w="25400">
              <a:solidFill>
                <a:srgbClr val="000080"/>
              </a:solidFill>
              <a:prstDash val="sysDash"/>
              <a:tailEnd type="stealth" w="lg" len="lg"/>
            </a:ln>
          </c:spPr>
          <c:marker>
            <c:symbol val="none"/>
          </c:marker>
          <c:xVal>
            <c:numRef>
              <c:f>'15-17,2GraphBarter'!$G$51:$G$52</c:f>
              <c:numCache>
                <c:formatCode>General</c:formatCode>
                <c:ptCount val="2"/>
                <c:pt idx="0">
                  <c:v>0</c:v>
                </c:pt>
                <c:pt idx="1">
                  <c:v>110</c:v>
                </c:pt>
              </c:numCache>
            </c:numRef>
          </c:xVal>
          <c:yVal>
            <c:numRef>
              <c:f>'15-17,2GraphBarter'!$H$51:$H$52</c:f>
              <c:numCache>
                <c:formatCode>General</c:formatCode>
                <c:ptCount val="2"/>
                <c:pt idx="0">
                  <c:v>0</c:v>
                </c:pt>
                <c:pt idx="1">
                  <c:v>-3500</c:v>
                </c:pt>
              </c:numCache>
            </c:numRef>
          </c:yVal>
          <c:smooth val="1"/>
        </c:ser>
        <c:ser>
          <c:idx val="3"/>
          <c:order val="3"/>
          <c:tx>
            <c:strRef>
              <c:f>'15-17,2GraphBarter'!$B$61</c:f>
              <c:strCache>
                <c:ptCount val="1"/>
                <c:pt idx="0">
                  <c:v>Bbarter set</c:v>
                </c:pt>
              </c:strCache>
            </c:strRef>
          </c:tx>
          <c:spPr>
            <a:ln w="12700">
              <a:solidFill>
                <a:srgbClr val="000000"/>
              </a:solidFill>
              <a:prstDash val="solid"/>
            </a:ln>
          </c:spPr>
          <c:marker>
            <c:symbol val="none"/>
          </c:marker>
          <c:xVal>
            <c:numRef>
              <c:f>'15-17,2GraphBarter'!$A$62:$A$63</c:f>
              <c:numCache>
                <c:formatCode>0.0</c:formatCode>
                <c:ptCount val="2"/>
                <c:pt idx="0">
                  <c:v>100</c:v>
                </c:pt>
                <c:pt idx="1">
                  <c:v>100</c:v>
                </c:pt>
              </c:numCache>
            </c:numRef>
          </c:xVal>
          <c:yVal>
            <c:numRef>
              <c:f>'15-17,2GraphBarter'!$B$62:$B$63</c:f>
              <c:numCache>
                <c:formatCode>General</c:formatCode>
                <c:ptCount val="2"/>
                <c:pt idx="0">
                  <c:v>38.5</c:v>
                </c:pt>
                <c:pt idx="1">
                  <c:v>56</c:v>
                </c:pt>
              </c:numCache>
            </c:numRef>
          </c:yVal>
          <c:smooth val="1"/>
        </c:ser>
        <c:ser>
          <c:idx val="4"/>
          <c:order val="4"/>
          <c:tx>
            <c:strRef>
              <c:f>'15-17,2GraphBarter'!$D$61</c:f>
              <c:strCache>
                <c:ptCount val="1"/>
                <c:pt idx="0">
                  <c:v>BBarterXY</c:v>
                </c:pt>
              </c:strCache>
            </c:strRef>
          </c:tx>
          <c:spPr>
            <a:ln w="25400">
              <a:solidFill>
                <a:srgbClr val="800080"/>
              </a:solidFill>
              <a:prstDash val="solid"/>
              <a:tailEnd type="stealth" w="lg" len="lg"/>
            </a:ln>
          </c:spPr>
          <c:marker>
            <c:symbol val="diamond"/>
            <c:size val="5"/>
            <c:spPr>
              <a:solidFill>
                <a:srgbClr val="800080"/>
              </a:solidFill>
              <a:ln>
                <a:solidFill>
                  <a:srgbClr val="800080"/>
                </a:solidFill>
                <a:prstDash val="solid"/>
              </a:ln>
            </c:spPr>
          </c:marker>
          <c:xVal>
            <c:numRef>
              <c:f>'15-17,2GraphBarter'!$C$62:$C$63</c:f>
              <c:numCache>
                <c:formatCode>0.0</c:formatCode>
                <c:ptCount val="2"/>
                <c:pt idx="0">
                  <c:v>110</c:v>
                </c:pt>
                <c:pt idx="1">
                  <c:v>100</c:v>
                </c:pt>
              </c:numCache>
            </c:numRef>
          </c:xVal>
          <c:yVal>
            <c:numRef>
              <c:f>'15-17,2GraphBarter'!$D$62:$D$63</c:f>
              <c:numCache>
                <c:formatCode>0.0</c:formatCode>
                <c:ptCount val="2"/>
                <c:pt idx="0" formatCode="General">
                  <c:v>35</c:v>
                </c:pt>
                <c:pt idx="1">
                  <c:v>44.974999999999994</c:v>
                </c:pt>
              </c:numCache>
            </c:numRef>
          </c:yVal>
          <c:smooth val="1"/>
        </c:ser>
        <c:ser>
          <c:idx val="5"/>
          <c:order val="5"/>
          <c:tx>
            <c:strRef>
              <c:f>data!$I$12</c:f>
              <c:strCache>
                <c:ptCount val="1"/>
                <c:pt idx="0">
                  <c:v>2UbBarter</c:v>
                </c:pt>
              </c:strCache>
            </c:strRef>
          </c:tx>
          <c:spPr>
            <a:ln w="25400">
              <a:solidFill>
                <a:srgbClr val="0000FF"/>
              </a:solidFill>
              <a:prstDash val="solid"/>
            </a:ln>
          </c:spPr>
          <c:marker>
            <c:symbol val="none"/>
          </c:marker>
          <c:xVal>
            <c:numRef>
              <c:f>data!$B$15:$B$34</c:f>
              <c:numCache>
                <c:formatCode>General</c:formatCode>
                <c:ptCount val="20"/>
                <c:pt idx="0">
                  <c:v>0</c:v>
                </c:pt>
                <c:pt idx="1">
                  <c:v>5</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145</c:v>
                </c:pt>
                <c:pt idx="17">
                  <c:v>150</c:v>
                </c:pt>
                <c:pt idx="18">
                  <c:v>160</c:v>
                </c:pt>
                <c:pt idx="19">
                  <c:v>170</c:v>
                </c:pt>
              </c:numCache>
            </c:numRef>
          </c:xVal>
          <c:yVal>
            <c:numRef>
              <c:f>data!$I$15:$I$34</c:f>
              <c:numCache>
                <c:formatCode>General</c:formatCode>
                <c:ptCount val="20"/>
                <c:pt idx="1">
                  <c:v>899.49999999999966</c:v>
                </c:pt>
                <c:pt idx="2">
                  <c:v>449.75</c:v>
                </c:pt>
                <c:pt idx="3">
                  <c:v>224.87499999999991</c:v>
                </c:pt>
                <c:pt idx="4">
                  <c:v>149.9166666666666</c:v>
                </c:pt>
                <c:pt idx="5">
                  <c:v>112.4375</c:v>
                </c:pt>
                <c:pt idx="6">
                  <c:v>89.949999999999989</c:v>
                </c:pt>
                <c:pt idx="7">
                  <c:v>74.958333333333286</c:v>
                </c:pt>
                <c:pt idx="8">
                  <c:v>64.249999999999986</c:v>
                </c:pt>
                <c:pt idx="9">
                  <c:v>56.218749999999979</c:v>
                </c:pt>
                <c:pt idx="10">
                  <c:v>49.9722222222222</c:v>
                </c:pt>
                <c:pt idx="11">
                  <c:v>44.974999999999994</c:v>
                </c:pt>
                <c:pt idx="12">
                  <c:v>40.88636363636364</c:v>
                </c:pt>
                <c:pt idx="13">
                  <c:v>37.47916666666665</c:v>
                </c:pt>
                <c:pt idx="14">
                  <c:v>34.596153846153847</c:v>
                </c:pt>
                <c:pt idx="15">
                  <c:v>32.124999999999993</c:v>
                </c:pt>
                <c:pt idx="16">
                  <c:v>31.017241379310345</c:v>
                </c:pt>
                <c:pt idx="17">
                  <c:v>29.983333333333327</c:v>
                </c:pt>
                <c:pt idx="18">
                  <c:v>28.109375</c:v>
                </c:pt>
                <c:pt idx="19">
                  <c:v>26.455882352941163</c:v>
                </c:pt>
              </c:numCache>
            </c:numRef>
          </c:yVal>
          <c:smooth val="1"/>
        </c:ser>
        <c:ser>
          <c:idx val="7"/>
          <c:order val="6"/>
          <c:tx>
            <c:strRef>
              <c:f>'15-17,2GraphBarter'!$J$61</c:f>
              <c:strCache>
                <c:ptCount val="1"/>
                <c:pt idx="0">
                  <c:v>BbarterX</c:v>
                </c:pt>
              </c:strCache>
            </c:strRef>
          </c:tx>
          <c:spPr>
            <a:ln w="25400">
              <a:solidFill>
                <a:srgbClr val="008000"/>
              </a:solidFill>
              <a:prstDash val="solid"/>
            </a:ln>
          </c:spPr>
          <c:marker>
            <c:symbol val="none"/>
          </c:marker>
          <c:xVal>
            <c:numRef>
              <c:f>'15-17,2GraphBarter'!$I$62:$I$63</c:f>
              <c:numCache>
                <c:formatCode>General</c:formatCode>
                <c:ptCount val="2"/>
                <c:pt idx="0">
                  <c:v>100</c:v>
                </c:pt>
                <c:pt idx="1">
                  <c:v>110</c:v>
                </c:pt>
              </c:numCache>
            </c:numRef>
          </c:xVal>
          <c:yVal>
            <c:numRef>
              <c:f>'15-17,2GraphBarter'!$J$62:$J$63</c:f>
              <c:numCache>
                <c:formatCode>General</c:formatCode>
                <c:ptCount val="2"/>
                <c:pt idx="0">
                  <c:v>0</c:v>
                </c:pt>
                <c:pt idx="1">
                  <c:v>0</c:v>
                </c:pt>
              </c:numCache>
            </c:numRef>
          </c:yVal>
          <c:smooth val="1"/>
        </c:ser>
        <c:ser>
          <c:idx val="8"/>
          <c:order val="7"/>
          <c:tx>
            <c:strRef>
              <c:f>'15-17,2GraphBarter'!$L$61</c:f>
              <c:strCache>
                <c:ptCount val="1"/>
                <c:pt idx="0">
                  <c:v>BbarterY</c:v>
                </c:pt>
              </c:strCache>
            </c:strRef>
          </c:tx>
          <c:spPr>
            <a:ln w="25400">
              <a:solidFill>
                <a:srgbClr val="FFFF00"/>
              </a:solidFill>
              <a:prstDash val="solid"/>
            </a:ln>
          </c:spPr>
          <c:marker>
            <c:symbol val="none"/>
          </c:marker>
          <c:xVal>
            <c:numRef>
              <c:f>'15-17,2GraphBarter'!$K$62:$K$63</c:f>
              <c:numCache>
                <c:formatCode>General</c:formatCode>
                <c:ptCount val="2"/>
                <c:pt idx="0">
                  <c:v>110</c:v>
                </c:pt>
                <c:pt idx="1">
                  <c:v>110</c:v>
                </c:pt>
              </c:numCache>
            </c:numRef>
          </c:xVal>
          <c:yVal>
            <c:numRef>
              <c:f>'15-17,2GraphBarter'!$L$62:$L$63</c:f>
              <c:numCache>
                <c:formatCode>General</c:formatCode>
                <c:ptCount val="2"/>
                <c:pt idx="0">
                  <c:v>0</c:v>
                </c:pt>
                <c:pt idx="1">
                  <c:v>0</c:v>
                </c:pt>
              </c:numCache>
            </c:numRef>
          </c:yVal>
          <c:smooth val="1"/>
        </c:ser>
        <c:ser>
          <c:idx val="6"/>
          <c:order val="8"/>
          <c:tx>
            <c:strRef>
              <c:f>data!$W$54</c:f>
              <c:strCache>
                <c:ptCount val="1"/>
                <c:pt idx="0">
                  <c:v>solid X axis</c:v>
                </c:pt>
              </c:strCache>
            </c:strRef>
          </c:tx>
          <c:spPr>
            <a:ln w="38100">
              <a:solidFill>
                <a:srgbClr val="000000"/>
              </a:solidFill>
              <a:prstDash val="solid"/>
            </a:ln>
          </c:spPr>
          <c:marker>
            <c:symbol val="none"/>
          </c:marker>
          <c:xVal>
            <c:numRef>
              <c:f>data!$V$56:$V$57</c:f>
              <c:numCache>
                <c:formatCode>General</c:formatCode>
                <c:ptCount val="2"/>
                <c:pt idx="0">
                  <c:v>-20</c:v>
                </c:pt>
                <c:pt idx="1">
                  <c:v>170</c:v>
                </c:pt>
              </c:numCache>
            </c:numRef>
          </c:xVal>
          <c:yVal>
            <c:numRef>
              <c:f>data!$W$56:$W$57</c:f>
              <c:numCache>
                <c:formatCode>General</c:formatCode>
                <c:ptCount val="2"/>
                <c:pt idx="0">
                  <c:v>0</c:v>
                </c:pt>
                <c:pt idx="1">
                  <c:v>0</c:v>
                </c:pt>
              </c:numCache>
            </c:numRef>
          </c:yVal>
          <c:smooth val="1"/>
        </c:ser>
        <c:dLbls>
          <c:showLegendKey val="0"/>
          <c:showVal val="0"/>
          <c:showCatName val="0"/>
          <c:showSerName val="0"/>
          <c:showPercent val="0"/>
          <c:showBubbleSize val="0"/>
        </c:dLbls>
        <c:axId val="48217472"/>
        <c:axId val="48219264"/>
      </c:scatterChart>
      <c:valAx>
        <c:axId val="48217472"/>
        <c:scaling>
          <c:orientation val="minMax"/>
          <c:max val="170"/>
          <c:min val="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8219264"/>
        <c:crosses val="autoZero"/>
        <c:crossBetween val="midCat"/>
        <c:majorUnit val="20"/>
      </c:valAx>
      <c:valAx>
        <c:axId val="48219264"/>
        <c:scaling>
          <c:orientation val="minMax"/>
          <c:max val="150"/>
          <c:min val="0"/>
        </c:scaling>
        <c:delete val="0"/>
        <c:axPos val="l"/>
        <c:numFmt formatCode="General" sourceLinked="1"/>
        <c:majorTickMark val="out"/>
        <c:minorTickMark val="none"/>
        <c:tickLblPos val="nextTo"/>
        <c:spPr>
          <a:ln w="381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8217472"/>
        <c:crosses val="autoZero"/>
        <c:crossBetween val="midCat"/>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608932082678687E-2"/>
          <c:y val="4.6575342465753428E-2"/>
          <c:w val="0.92871080336058554"/>
          <c:h val="0.90958904109589045"/>
        </c:manualLayout>
      </c:layout>
      <c:scatterChart>
        <c:scatterStyle val="lineMarker"/>
        <c:varyColors val="0"/>
        <c:ser>
          <c:idx val="1"/>
          <c:order val="0"/>
          <c:tx>
            <c:strRef>
              <c:f>'18allocations'!$D$30</c:f>
              <c:strCache>
                <c:ptCount val="1"/>
                <c:pt idx="0">
                  <c:v>AllocationA</c:v>
                </c:pt>
              </c:strCache>
            </c:strRef>
          </c:tx>
          <c:spPr>
            <a:ln w="25400">
              <a:solidFill>
                <a:srgbClr val="0000FF"/>
              </a:solidFill>
              <a:prstDash val="sysDash"/>
            </a:ln>
          </c:spPr>
          <c:marker>
            <c:symbol val="diamond"/>
            <c:size val="5"/>
            <c:spPr>
              <a:noFill/>
              <a:ln>
                <a:solidFill>
                  <a:srgbClr val="0000FF"/>
                </a:solidFill>
                <a:prstDash val="solid"/>
              </a:ln>
            </c:spPr>
          </c:marker>
          <c:xVal>
            <c:numRef>
              <c:f>'18allocations'!$C$31:$C$33</c:f>
              <c:numCache>
                <c:formatCode>General</c:formatCode>
                <c:ptCount val="3"/>
                <c:pt idx="0">
                  <c:v>75</c:v>
                </c:pt>
                <c:pt idx="1">
                  <c:v>75</c:v>
                </c:pt>
                <c:pt idx="2">
                  <c:v>150</c:v>
                </c:pt>
              </c:numCache>
            </c:numRef>
          </c:xVal>
          <c:yVal>
            <c:numRef>
              <c:f>'18allocations'!$D$31:$D$33</c:f>
              <c:numCache>
                <c:formatCode>General</c:formatCode>
                <c:ptCount val="3"/>
                <c:pt idx="0">
                  <c:v>140</c:v>
                </c:pt>
                <c:pt idx="1">
                  <c:v>70</c:v>
                </c:pt>
                <c:pt idx="2">
                  <c:v>70</c:v>
                </c:pt>
              </c:numCache>
            </c:numRef>
          </c:yVal>
          <c:smooth val="0"/>
        </c:ser>
        <c:ser>
          <c:idx val="0"/>
          <c:order val="1"/>
          <c:tx>
            <c:strRef>
              <c:f>'18allocations'!$B$30</c:f>
              <c:strCache>
                <c:ptCount val="1"/>
                <c:pt idx="0">
                  <c:v>AllocationA</c:v>
                </c:pt>
              </c:strCache>
            </c:strRef>
          </c:tx>
          <c:spPr>
            <a:ln w="25400">
              <a:solidFill>
                <a:srgbClr val="FF0000"/>
              </a:solidFill>
              <a:prstDash val="sysDash"/>
            </a:ln>
          </c:spPr>
          <c:marker>
            <c:symbol val="diamond"/>
            <c:size val="3"/>
            <c:spPr>
              <a:solidFill>
                <a:srgbClr val="FF0000"/>
              </a:solidFill>
              <a:ln>
                <a:solidFill>
                  <a:srgbClr val="FF0000"/>
                </a:solidFill>
                <a:prstDash val="solid"/>
              </a:ln>
            </c:spPr>
          </c:marker>
          <c:xVal>
            <c:numRef>
              <c:f>'18allocations'!$A$31:$A$33</c:f>
              <c:numCache>
                <c:formatCode>General</c:formatCode>
                <c:ptCount val="3"/>
                <c:pt idx="0">
                  <c:v>0</c:v>
                </c:pt>
                <c:pt idx="1">
                  <c:v>75</c:v>
                </c:pt>
                <c:pt idx="2">
                  <c:v>75</c:v>
                </c:pt>
              </c:numCache>
            </c:numRef>
          </c:xVal>
          <c:yVal>
            <c:numRef>
              <c:f>'18allocations'!$B$31:$B$33</c:f>
              <c:numCache>
                <c:formatCode>General</c:formatCode>
                <c:ptCount val="3"/>
                <c:pt idx="0">
                  <c:v>70</c:v>
                </c:pt>
                <c:pt idx="1">
                  <c:v>70</c:v>
                </c:pt>
                <c:pt idx="2">
                  <c:v>0</c:v>
                </c:pt>
              </c:numCache>
            </c:numRef>
          </c:yVal>
          <c:smooth val="0"/>
        </c:ser>
        <c:ser>
          <c:idx val="4"/>
          <c:order val="2"/>
          <c:tx>
            <c:strRef>
              <c:f>data!$E$38</c:f>
              <c:strCache>
                <c:ptCount val="1"/>
                <c:pt idx="0">
                  <c:v>box top</c:v>
                </c:pt>
              </c:strCache>
            </c:strRef>
          </c:tx>
          <c:spPr>
            <a:ln w="25400">
              <a:solidFill>
                <a:srgbClr val="0000FF"/>
              </a:solidFill>
              <a:prstDash val="solid"/>
            </a:ln>
          </c:spPr>
          <c:marker>
            <c:symbol val="none"/>
          </c:marker>
          <c:xVal>
            <c:numRef>
              <c:f>data!$D$39:$D$43</c:f>
              <c:numCache>
                <c:formatCode>General</c:formatCode>
                <c:ptCount val="5"/>
                <c:pt idx="0">
                  <c:v>-20</c:v>
                </c:pt>
                <c:pt idx="1">
                  <c:v>150</c:v>
                </c:pt>
                <c:pt idx="2">
                  <c:v>150</c:v>
                </c:pt>
                <c:pt idx="3">
                  <c:v>150</c:v>
                </c:pt>
                <c:pt idx="4">
                  <c:v>150</c:v>
                </c:pt>
              </c:numCache>
            </c:numRef>
          </c:xVal>
          <c:yVal>
            <c:numRef>
              <c:f>data!$E$39:$E$43</c:f>
              <c:numCache>
                <c:formatCode>General</c:formatCode>
                <c:ptCount val="5"/>
                <c:pt idx="0">
                  <c:v>140</c:v>
                </c:pt>
                <c:pt idx="1">
                  <c:v>140</c:v>
                </c:pt>
                <c:pt idx="2">
                  <c:v>140</c:v>
                </c:pt>
                <c:pt idx="3">
                  <c:v>-20</c:v>
                </c:pt>
                <c:pt idx="4">
                  <c:v>-20</c:v>
                </c:pt>
              </c:numCache>
            </c:numRef>
          </c:yVal>
          <c:smooth val="0"/>
        </c:ser>
        <c:ser>
          <c:idx val="10"/>
          <c:order val="3"/>
          <c:tx>
            <c:strRef>
              <c:f>data!$C$38</c:f>
              <c:strCache>
                <c:ptCount val="1"/>
                <c:pt idx="0">
                  <c:v>box bottom</c:v>
                </c:pt>
              </c:strCache>
            </c:strRef>
          </c:tx>
          <c:spPr>
            <a:ln w="25400">
              <a:solidFill>
                <a:srgbClr val="FF0000"/>
              </a:solidFill>
              <a:prstDash val="solid"/>
            </a:ln>
          </c:spPr>
          <c:marker>
            <c:symbol val="none"/>
          </c:marker>
          <c:xVal>
            <c:numRef>
              <c:f>data!$B$39:$B$45</c:f>
              <c:numCache>
                <c:formatCode>General</c:formatCode>
                <c:ptCount val="7"/>
                <c:pt idx="0">
                  <c:v>0</c:v>
                </c:pt>
                <c:pt idx="1">
                  <c:v>0</c:v>
                </c:pt>
                <c:pt idx="2">
                  <c:v>0</c:v>
                </c:pt>
                <c:pt idx="3">
                  <c:v>0</c:v>
                </c:pt>
                <c:pt idx="4">
                  <c:v>0</c:v>
                </c:pt>
                <c:pt idx="5">
                  <c:v>160</c:v>
                </c:pt>
                <c:pt idx="6">
                  <c:v>160</c:v>
                </c:pt>
              </c:numCache>
            </c:numRef>
          </c:xVal>
          <c:yVal>
            <c:numRef>
              <c:f>data!$C$39:$C$45</c:f>
              <c:numCache>
                <c:formatCode>General</c:formatCode>
                <c:ptCount val="7"/>
                <c:pt idx="0">
                  <c:v>150</c:v>
                </c:pt>
                <c:pt idx="1">
                  <c:v>150</c:v>
                </c:pt>
                <c:pt idx="2">
                  <c:v>150</c:v>
                </c:pt>
                <c:pt idx="3">
                  <c:v>0</c:v>
                </c:pt>
                <c:pt idx="4">
                  <c:v>0</c:v>
                </c:pt>
                <c:pt idx="5">
                  <c:v>0</c:v>
                </c:pt>
                <c:pt idx="6">
                  <c:v>0</c:v>
                </c:pt>
              </c:numCache>
            </c:numRef>
          </c:yVal>
          <c:smooth val="0"/>
        </c:ser>
        <c:ser>
          <c:idx val="2"/>
          <c:order val="4"/>
          <c:tx>
            <c:strRef>
              <c:f>data!$W$50</c:f>
              <c:strCache>
                <c:ptCount val="1"/>
                <c:pt idx="0">
                  <c:v>shifting Xaxis</c:v>
                </c:pt>
              </c:strCache>
            </c:strRef>
          </c:tx>
          <c:spPr>
            <a:ln w="25400">
              <a:solidFill>
                <a:srgbClr val="000000"/>
              </a:solidFill>
              <a:prstDash val="solid"/>
            </a:ln>
          </c:spPr>
          <c:marker>
            <c:symbol val="none"/>
          </c:marker>
          <c:xVal>
            <c:numRef>
              <c:f>data!$V$51:$V$52</c:f>
              <c:numCache>
                <c:formatCode>General</c:formatCode>
                <c:ptCount val="2"/>
                <c:pt idx="0">
                  <c:v>-20</c:v>
                </c:pt>
                <c:pt idx="1">
                  <c:v>0</c:v>
                </c:pt>
              </c:numCache>
            </c:numRef>
          </c:xVal>
          <c:yVal>
            <c:numRef>
              <c:f>data!$W$51:$W$52</c:f>
              <c:numCache>
                <c:formatCode>General</c:formatCode>
                <c:ptCount val="2"/>
                <c:pt idx="0">
                  <c:v>0</c:v>
                </c:pt>
                <c:pt idx="1">
                  <c:v>0</c:v>
                </c:pt>
              </c:numCache>
            </c:numRef>
          </c:yVal>
          <c:smooth val="0"/>
        </c:ser>
        <c:dLbls>
          <c:showLegendKey val="0"/>
          <c:showVal val="0"/>
          <c:showCatName val="0"/>
          <c:showSerName val="0"/>
          <c:showPercent val="0"/>
          <c:showBubbleSize val="0"/>
        </c:dLbls>
        <c:axId val="48670976"/>
        <c:axId val="48152576"/>
      </c:scatterChart>
      <c:valAx>
        <c:axId val="48670976"/>
        <c:scaling>
          <c:orientation val="minMax"/>
          <c:max val="160"/>
          <c:min val="-2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48152576"/>
        <c:crossesAt val="0"/>
        <c:crossBetween val="midCat"/>
        <c:majorUnit val="20"/>
      </c:valAx>
      <c:valAx>
        <c:axId val="48152576"/>
        <c:scaling>
          <c:orientation val="minMax"/>
          <c:max val="150"/>
          <c:min val="-20"/>
        </c:scaling>
        <c:delete val="0"/>
        <c:axPos val="l"/>
        <c:numFmt formatCode="General" sourceLinked="1"/>
        <c:majorTickMark val="out"/>
        <c:minorTickMark val="none"/>
        <c:tickLblPos val="nextTo"/>
        <c:spPr>
          <a:ln w="25400">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48670976"/>
        <c:crosses val="autoZero"/>
        <c:crossBetween val="midCat"/>
      </c:valAx>
      <c:spPr>
        <a:noFill/>
        <a:ln w="25400">
          <a:noFill/>
        </a:ln>
      </c:spPr>
    </c:plotArea>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39888682745827E-2"/>
          <c:y val="3.6402569593147749E-2"/>
          <c:w val="0.93877551020408168"/>
          <c:h val="0.92933618843683086"/>
        </c:manualLayout>
      </c:layout>
      <c:scatterChart>
        <c:scatterStyle val="smoothMarker"/>
        <c:varyColors val="0"/>
        <c:ser>
          <c:idx val="17"/>
          <c:order val="0"/>
          <c:tx>
            <c:strRef>
              <c:f>data!$E$12</c:f>
              <c:strCache>
                <c:ptCount val="1"/>
                <c:pt idx="0">
                  <c:v>UaBarter</c:v>
                </c:pt>
              </c:strCache>
            </c:strRef>
          </c:tx>
          <c:spPr>
            <a:ln w="25400">
              <a:solidFill>
                <a:srgbClr val="FF0000"/>
              </a:solidFill>
              <a:prstDash val="solid"/>
            </a:ln>
          </c:spPr>
          <c:marker>
            <c:symbol val="none"/>
          </c:marker>
          <c:xVal>
            <c:numRef>
              <c:f>data!$B$16:$B$34</c:f>
              <c:numCache>
                <c:formatCode>General</c:formatCode>
                <c:ptCount val="19"/>
                <c:pt idx="0">
                  <c:v>5</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145</c:v>
                </c:pt>
                <c:pt idx="16">
                  <c:v>150</c:v>
                </c:pt>
                <c:pt idx="17">
                  <c:v>160</c:v>
                </c:pt>
                <c:pt idx="18">
                  <c:v>170</c:v>
                </c:pt>
              </c:numCache>
            </c:numRef>
          </c:xVal>
          <c:yVal>
            <c:numRef>
              <c:f>data!$E$16:$E$34</c:f>
              <c:numCache>
                <c:formatCode>General</c:formatCode>
                <c:ptCount val="19"/>
                <c:pt idx="0">
                  <c:v>950.25000000000011</c:v>
                </c:pt>
                <c:pt idx="1">
                  <c:v>475.12500000000006</c:v>
                </c:pt>
                <c:pt idx="2">
                  <c:v>237.56250000000003</c:v>
                </c:pt>
                <c:pt idx="3">
                  <c:v>158.37500000000003</c:v>
                </c:pt>
                <c:pt idx="4">
                  <c:v>118.78125000000001</c:v>
                </c:pt>
                <c:pt idx="5">
                  <c:v>95.025000000000006</c:v>
                </c:pt>
                <c:pt idx="6">
                  <c:v>79.187499999999986</c:v>
                </c:pt>
                <c:pt idx="7">
                  <c:v>67.875</c:v>
                </c:pt>
                <c:pt idx="8">
                  <c:v>59.390625000000007</c:v>
                </c:pt>
                <c:pt idx="9">
                  <c:v>52.791666666666671</c:v>
                </c:pt>
                <c:pt idx="10">
                  <c:v>47.512500000000017</c:v>
                </c:pt>
                <c:pt idx="11">
                  <c:v>43.193181818181827</c:v>
                </c:pt>
                <c:pt idx="12">
                  <c:v>39.593750000000007</c:v>
                </c:pt>
                <c:pt idx="13">
                  <c:v>36.548076923076934</c:v>
                </c:pt>
                <c:pt idx="14">
                  <c:v>33.9375</c:v>
                </c:pt>
                <c:pt idx="15">
                  <c:v>32.767241379310349</c:v>
                </c:pt>
                <c:pt idx="16">
                  <c:v>31.675000000000011</c:v>
                </c:pt>
                <c:pt idx="17">
                  <c:v>29.695312500000004</c:v>
                </c:pt>
                <c:pt idx="18">
                  <c:v>27.948529411764703</c:v>
                </c:pt>
              </c:numCache>
            </c:numRef>
          </c:yVal>
          <c:smooth val="1"/>
        </c:ser>
        <c:ser>
          <c:idx val="18"/>
          <c:order val="1"/>
          <c:tx>
            <c:strRef>
              <c:f>data!$M$12</c:f>
              <c:strCache>
                <c:ptCount val="1"/>
                <c:pt idx="0">
                  <c:v>UbBarter</c:v>
                </c:pt>
              </c:strCache>
            </c:strRef>
          </c:tx>
          <c:spPr>
            <a:ln w="25400">
              <a:solidFill>
                <a:srgbClr val="0000FF"/>
              </a:solidFill>
              <a:prstDash val="solid"/>
            </a:ln>
          </c:spPr>
          <c:marker>
            <c:symbol val="none"/>
          </c:marker>
          <c:xVal>
            <c:numRef>
              <c:f>data!$B$13:$B$31</c:f>
              <c:numCache>
                <c:formatCode>General</c:formatCode>
                <c:ptCount val="19"/>
                <c:pt idx="0">
                  <c:v>-20</c:v>
                </c:pt>
                <c:pt idx="1">
                  <c:v>-10</c:v>
                </c:pt>
                <c:pt idx="2">
                  <c:v>0</c:v>
                </c:pt>
                <c:pt idx="3">
                  <c:v>5</c:v>
                </c:pt>
                <c:pt idx="4">
                  <c:v>10</c:v>
                </c:pt>
                <c:pt idx="5">
                  <c:v>20</c:v>
                </c:pt>
                <c:pt idx="6">
                  <c:v>30</c:v>
                </c:pt>
                <c:pt idx="7">
                  <c:v>40</c:v>
                </c:pt>
                <c:pt idx="8">
                  <c:v>50</c:v>
                </c:pt>
                <c:pt idx="9">
                  <c:v>60</c:v>
                </c:pt>
                <c:pt idx="10">
                  <c:v>70</c:v>
                </c:pt>
                <c:pt idx="11">
                  <c:v>80</c:v>
                </c:pt>
                <c:pt idx="12">
                  <c:v>90</c:v>
                </c:pt>
                <c:pt idx="13">
                  <c:v>100</c:v>
                </c:pt>
                <c:pt idx="14">
                  <c:v>110</c:v>
                </c:pt>
                <c:pt idx="15">
                  <c:v>120</c:v>
                </c:pt>
                <c:pt idx="16">
                  <c:v>130</c:v>
                </c:pt>
                <c:pt idx="17">
                  <c:v>140</c:v>
                </c:pt>
                <c:pt idx="18">
                  <c:v>145</c:v>
                </c:pt>
              </c:numCache>
            </c:numRef>
          </c:xVal>
          <c:yVal>
            <c:numRef>
              <c:f>data!$M$13:$M$31</c:f>
              <c:numCache>
                <c:formatCode>General</c:formatCode>
                <c:ptCount val="19"/>
                <c:pt idx="0">
                  <c:v>113.54411764705884</c:v>
                </c:pt>
                <c:pt idx="1">
                  <c:v>111.890625</c:v>
                </c:pt>
                <c:pt idx="2">
                  <c:v>110.01666666666668</c:v>
                </c:pt>
                <c:pt idx="3">
                  <c:v>108.98275862068965</c:v>
                </c:pt>
                <c:pt idx="4">
                  <c:v>107.875</c:v>
                </c:pt>
                <c:pt idx="5">
                  <c:v>105.40384615384616</c:v>
                </c:pt>
                <c:pt idx="6">
                  <c:v>102.52083333333334</c:v>
                </c:pt>
                <c:pt idx="7">
                  <c:v>99.11363636363636</c:v>
                </c:pt>
                <c:pt idx="8">
                  <c:v>95.025000000000006</c:v>
                </c:pt>
                <c:pt idx="9">
                  <c:v>90.0277777777778</c:v>
                </c:pt>
                <c:pt idx="10">
                  <c:v>83.781250000000028</c:v>
                </c:pt>
                <c:pt idx="11">
                  <c:v>75.750000000000014</c:v>
                </c:pt>
                <c:pt idx="12">
                  <c:v>65.041666666666714</c:v>
                </c:pt>
                <c:pt idx="13">
                  <c:v>50.050000000000011</c:v>
                </c:pt>
                <c:pt idx="14">
                  <c:v>27.5625</c:v>
                </c:pt>
                <c:pt idx="15">
                  <c:v>-9.9166666666666003</c:v>
                </c:pt>
                <c:pt idx="16">
                  <c:v>-84.874999999999915</c:v>
                </c:pt>
                <c:pt idx="17">
                  <c:v>-309.75</c:v>
                </c:pt>
                <c:pt idx="18">
                  <c:v>-759.49999999999966</c:v>
                </c:pt>
              </c:numCache>
            </c:numRef>
          </c:yVal>
          <c:smooth val="1"/>
        </c:ser>
        <c:ser>
          <c:idx val="0"/>
          <c:order val="2"/>
          <c:tx>
            <c:strRef>
              <c:f>data!$C$12</c:f>
              <c:strCache>
                <c:ptCount val="1"/>
                <c:pt idx="0">
                  <c:v>Ua0</c:v>
                </c:pt>
              </c:strCache>
            </c:strRef>
          </c:tx>
          <c:spPr>
            <a:ln w="25400">
              <a:solidFill>
                <a:srgbClr val="FF00FF"/>
              </a:solidFill>
              <a:prstDash val="solid"/>
            </a:ln>
          </c:spPr>
          <c:marker>
            <c:symbol val="none"/>
          </c:marker>
          <c:xVal>
            <c:numRef>
              <c:f>data!$B$13:$B$34</c:f>
              <c:numCache>
                <c:formatCode>General</c:formatCode>
                <c:ptCount val="22"/>
                <c:pt idx="0">
                  <c:v>-20</c:v>
                </c:pt>
                <c:pt idx="1">
                  <c:v>-10</c:v>
                </c:pt>
                <c:pt idx="2">
                  <c:v>0</c:v>
                </c:pt>
                <c:pt idx="3">
                  <c:v>5</c:v>
                </c:pt>
                <c:pt idx="4">
                  <c:v>10</c:v>
                </c:pt>
                <c:pt idx="5">
                  <c:v>20</c:v>
                </c:pt>
                <c:pt idx="6">
                  <c:v>30</c:v>
                </c:pt>
                <c:pt idx="7">
                  <c:v>40</c:v>
                </c:pt>
                <c:pt idx="8">
                  <c:v>50</c:v>
                </c:pt>
                <c:pt idx="9">
                  <c:v>60</c:v>
                </c:pt>
                <c:pt idx="10">
                  <c:v>70</c:v>
                </c:pt>
                <c:pt idx="11">
                  <c:v>80</c:v>
                </c:pt>
                <c:pt idx="12">
                  <c:v>90</c:v>
                </c:pt>
                <c:pt idx="13">
                  <c:v>100</c:v>
                </c:pt>
                <c:pt idx="14">
                  <c:v>110</c:v>
                </c:pt>
                <c:pt idx="15">
                  <c:v>120</c:v>
                </c:pt>
                <c:pt idx="16">
                  <c:v>130</c:v>
                </c:pt>
                <c:pt idx="17">
                  <c:v>140</c:v>
                </c:pt>
                <c:pt idx="18">
                  <c:v>145</c:v>
                </c:pt>
                <c:pt idx="19">
                  <c:v>150</c:v>
                </c:pt>
                <c:pt idx="20">
                  <c:v>160</c:v>
                </c:pt>
                <c:pt idx="21">
                  <c:v>170</c:v>
                </c:pt>
              </c:numCache>
            </c:numRef>
          </c:xVal>
          <c:yVal>
            <c:numRef>
              <c:f>data!$C$13:$C$34</c:f>
              <c:numCache>
                <c:formatCode>General</c:formatCode>
                <c:ptCount val="22"/>
                <c:pt idx="3">
                  <c:v>839.99999999999977</c:v>
                </c:pt>
                <c:pt idx="4">
                  <c:v>419.99999999999994</c:v>
                </c:pt>
                <c:pt idx="5">
                  <c:v>209.99999999999994</c:v>
                </c:pt>
                <c:pt idx="6">
                  <c:v>139.99999999999997</c:v>
                </c:pt>
                <c:pt idx="7">
                  <c:v>104.99999999999999</c:v>
                </c:pt>
                <c:pt idx="8">
                  <c:v>84</c:v>
                </c:pt>
                <c:pt idx="9">
                  <c:v>69.999999999999972</c:v>
                </c:pt>
                <c:pt idx="10">
                  <c:v>59.999999999999993</c:v>
                </c:pt>
                <c:pt idx="11">
                  <c:v>52.499999999999986</c:v>
                </c:pt>
                <c:pt idx="12">
                  <c:v>46.66666666666665</c:v>
                </c:pt>
                <c:pt idx="13">
                  <c:v>42</c:v>
                </c:pt>
                <c:pt idx="14">
                  <c:v>38.181818181818173</c:v>
                </c:pt>
                <c:pt idx="15">
                  <c:v>34.999999999999993</c:v>
                </c:pt>
                <c:pt idx="16">
                  <c:v>32.307692307692307</c:v>
                </c:pt>
                <c:pt idx="17">
                  <c:v>29.999999999999989</c:v>
                </c:pt>
                <c:pt idx="18">
                  <c:v>28.96551724137931</c:v>
                </c:pt>
                <c:pt idx="19">
                  <c:v>28.000000000000004</c:v>
                </c:pt>
                <c:pt idx="20">
                  <c:v>26.249999999999996</c:v>
                </c:pt>
                <c:pt idx="21">
                  <c:v>24.705882352941163</c:v>
                </c:pt>
              </c:numCache>
            </c:numRef>
          </c:yVal>
          <c:smooth val="1"/>
        </c:ser>
        <c:ser>
          <c:idx val="2"/>
          <c:order val="3"/>
          <c:tx>
            <c:strRef>
              <c:f>data!$K$12</c:f>
              <c:strCache>
                <c:ptCount val="1"/>
                <c:pt idx="0">
                  <c:v>Ub0</c:v>
                </c:pt>
              </c:strCache>
            </c:strRef>
          </c:tx>
          <c:spPr>
            <a:ln w="25400">
              <a:solidFill>
                <a:srgbClr val="33CCCC"/>
              </a:solidFill>
              <a:prstDash val="solid"/>
            </a:ln>
          </c:spPr>
          <c:marker>
            <c:symbol val="none"/>
          </c:marker>
          <c:xVal>
            <c:numRef>
              <c:f>data!$B$13:$B$31</c:f>
              <c:numCache>
                <c:formatCode>General</c:formatCode>
                <c:ptCount val="19"/>
                <c:pt idx="0">
                  <c:v>-20</c:v>
                </c:pt>
                <c:pt idx="1">
                  <c:v>-10</c:v>
                </c:pt>
                <c:pt idx="2">
                  <c:v>0</c:v>
                </c:pt>
                <c:pt idx="3">
                  <c:v>5</c:v>
                </c:pt>
                <c:pt idx="4">
                  <c:v>10</c:v>
                </c:pt>
                <c:pt idx="5">
                  <c:v>20</c:v>
                </c:pt>
                <c:pt idx="6">
                  <c:v>30</c:v>
                </c:pt>
                <c:pt idx="7">
                  <c:v>40</c:v>
                </c:pt>
                <c:pt idx="8">
                  <c:v>50</c:v>
                </c:pt>
                <c:pt idx="9">
                  <c:v>60</c:v>
                </c:pt>
                <c:pt idx="10">
                  <c:v>70</c:v>
                </c:pt>
                <c:pt idx="11">
                  <c:v>80</c:v>
                </c:pt>
                <c:pt idx="12">
                  <c:v>90</c:v>
                </c:pt>
                <c:pt idx="13">
                  <c:v>100</c:v>
                </c:pt>
                <c:pt idx="14">
                  <c:v>110</c:v>
                </c:pt>
                <c:pt idx="15">
                  <c:v>120</c:v>
                </c:pt>
                <c:pt idx="16">
                  <c:v>130</c:v>
                </c:pt>
                <c:pt idx="17">
                  <c:v>140</c:v>
                </c:pt>
                <c:pt idx="18">
                  <c:v>145</c:v>
                </c:pt>
              </c:numCache>
            </c:numRef>
          </c:xVal>
          <c:yVal>
            <c:numRef>
              <c:f>data!$K$13:$K$31</c:f>
              <c:numCache>
                <c:formatCode>General</c:formatCode>
                <c:ptCount val="19"/>
                <c:pt idx="0">
                  <c:v>117.35294117647059</c:v>
                </c:pt>
                <c:pt idx="1">
                  <c:v>115.9375</c:v>
                </c:pt>
                <c:pt idx="2">
                  <c:v>114.33333333333333</c:v>
                </c:pt>
                <c:pt idx="3">
                  <c:v>113.44827586206897</c:v>
                </c:pt>
                <c:pt idx="4">
                  <c:v>112.5</c:v>
                </c:pt>
                <c:pt idx="5">
                  <c:v>110.38461538461539</c:v>
                </c:pt>
                <c:pt idx="6">
                  <c:v>107.91666666666667</c:v>
                </c:pt>
                <c:pt idx="7">
                  <c:v>104.99999999999999</c:v>
                </c:pt>
                <c:pt idx="8">
                  <c:v>101.5</c:v>
                </c:pt>
                <c:pt idx="9">
                  <c:v>97.222222222222229</c:v>
                </c:pt>
                <c:pt idx="10">
                  <c:v>91.875</c:v>
                </c:pt>
                <c:pt idx="11">
                  <c:v>85</c:v>
                </c:pt>
                <c:pt idx="12">
                  <c:v>75.833333333333357</c:v>
                </c:pt>
                <c:pt idx="13">
                  <c:v>62.999999999999986</c:v>
                </c:pt>
                <c:pt idx="14">
                  <c:v>43.749999999999972</c:v>
                </c:pt>
                <c:pt idx="15">
                  <c:v>11.666666666666686</c:v>
                </c:pt>
                <c:pt idx="16">
                  <c:v>-52.5</c:v>
                </c:pt>
                <c:pt idx="17">
                  <c:v>-245.00000000000011</c:v>
                </c:pt>
                <c:pt idx="18">
                  <c:v>-630</c:v>
                </c:pt>
              </c:numCache>
            </c:numRef>
          </c:yVal>
          <c:smooth val="1"/>
        </c:ser>
        <c:ser>
          <c:idx val="6"/>
          <c:order val="4"/>
          <c:tx>
            <c:strRef>
              <c:f>data!$I$38</c:f>
              <c:strCache>
                <c:ptCount val="1"/>
                <c:pt idx="0">
                  <c:v>endowA</c:v>
                </c:pt>
              </c:strCache>
            </c:strRef>
          </c:tx>
          <c:spPr>
            <a:ln w="25400">
              <a:solidFill>
                <a:srgbClr val="FF99CC"/>
              </a:solidFill>
              <a:prstDash val="sysDash"/>
            </a:ln>
          </c:spPr>
          <c:marker>
            <c:symbol val="none"/>
          </c:marker>
          <c:xVal>
            <c:numRef>
              <c:f>data!$H$39:$H$43</c:f>
              <c:numCache>
                <c:formatCode>General</c:formatCode>
                <c:ptCount val="5"/>
                <c:pt idx="0">
                  <c:v>0</c:v>
                </c:pt>
                <c:pt idx="1">
                  <c:v>40</c:v>
                </c:pt>
                <c:pt idx="2">
                  <c:v>40</c:v>
                </c:pt>
                <c:pt idx="3">
                  <c:v>40</c:v>
                </c:pt>
                <c:pt idx="4">
                  <c:v>40</c:v>
                </c:pt>
              </c:numCache>
            </c:numRef>
          </c:xVal>
          <c:yVal>
            <c:numRef>
              <c:f>data!$I$39:$I$43</c:f>
              <c:numCache>
                <c:formatCode>General</c:formatCode>
                <c:ptCount val="5"/>
                <c:pt idx="0">
                  <c:v>105</c:v>
                </c:pt>
                <c:pt idx="1">
                  <c:v>105</c:v>
                </c:pt>
                <c:pt idx="2">
                  <c:v>105</c:v>
                </c:pt>
                <c:pt idx="3">
                  <c:v>0</c:v>
                </c:pt>
                <c:pt idx="4">
                  <c:v>0</c:v>
                </c:pt>
              </c:numCache>
            </c:numRef>
          </c:yVal>
          <c:smooth val="1"/>
        </c:ser>
        <c:ser>
          <c:idx val="7"/>
          <c:order val="5"/>
          <c:tx>
            <c:strRef>
              <c:f>data!$K$38</c:f>
              <c:strCache>
                <c:ptCount val="1"/>
                <c:pt idx="0">
                  <c:v>endowB</c:v>
                </c:pt>
              </c:strCache>
            </c:strRef>
          </c:tx>
          <c:spPr>
            <a:ln w="25400">
              <a:solidFill>
                <a:srgbClr val="3366FF"/>
              </a:solidFill>
              <a:prstDash val="sysDash"/>
            </a:ln>
          </c:spPr>
          <c:marker>
            <c:symbol val="none"/>
          </c:marker>
          <c:xVal>
            <c:numRef>
              <c:f>data!$J$39:$J$43</c:f>
              <c:numCache>
                <c:formatCode>General</c:formatCode>
                <c:ptCount val="5"/>
                <c:pt idx="0">
                  <c:v>40</c:v>
                </c:pt>
                <c:pt idx="1">
                  <c:v>40</c:v>
                </c:pt>
                <c:pt idx="2">
                  <c:v>40</c:v>
                </c:pt>
                <c:pt idx="3">
                  <c:v>150</c:v>
                </c:pt>
                <c:pt idx="4">
                  <c:v>150</c:v>
                </c:pt>
              </c:numCache>
            </c:numRef>
          </c:xVal>
          <c:yVal>
            <c:numRef>
              <c:f>data!$K$39:$K$43</c:f>
              <c:numCache>
                <c:formatCode>General</c:formatCode>
                <c:ptCount val="5"/>
                <c:pt idx="0">
                  <c:v>140</c:v>
                </c:pt>
                <c:pt idx="1">
                  <c:v>105</c:v>
                </c:pt>
                <c:pt idx="2">
                  <c:v>105</c:v>
                </c:pt>
                <c:pt idx="3">
                  <c:v>105</c:v>
                </c:pt>
                <c:pt idx="4">
                  <c:v>105</c:v>
                </c:pt>
              </c:numCache>
            </c:numRef>
          </c:yVal>
          <c:smooth val="1"/>
        </c:ser>
        <c:ser>
          <c:idx val="11"/>
          <c:order val="6"/>
          <c:tx>
            <c:strRef>
              <c:f>data!$N$12</c:f>
              <c:strCache>
                <c:ptCount val="1"/>
                <c:pt idx="0">
                  <c:v>Contract Curve</c:v>
                </c:pt>
              </c:strCache>
            </c:strRef>
          </c:tx>
          <c:spPr>
            <a:ln w="12700">
              <a:solidFill>
                <a:srgbClr val="008000"/>
              </a:solidFill>
              <a:prstDash val="solid"/>
            </a:ln>
          </c:spPr>
          <c:marker>
            <c:symbol val="none"/>
          </c:marker>
          <c:xVal>
            <c:numRef>
              <c:f>data!$B$15:$B$32</c:f>
              <c:numCache>
                <c:formatCode>General</c:formatCode>
                <c:ptCount val="18"/>
                <c:pt idx="0">
                  <c:v>0</c:v>
                </c:pt>
                <c:pt idx="1">
                  <c:v>5</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145</c:v>
                </c:pt>
                <c:pt idx="17">
                  <c:v>150</c:v>
                </c:pt>
              </c:numCache>
            </c:numRef>
          </c:xVal>
          <c:yVal>
            <c:numRef>
              <c:f>data!$N$15:$N$32</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yVal>
          <c:smooth val="1"/>
        </c:ser>
        <c:ser>
          <c:idx val="12"/>
          <c:order val="7"/>
          <c:tx>
            <c:strRef>
              <c:f>data!$Q$38</c:f>
              <c:strCache>
                <c:ptCount val="1"/>
                <c:pt idx="0">
                  <c:v>EndowARay</c:v>
                </c:pt>
              </c:strCache>
            </c:strRef>
          </c:tx>
          <c:spPr>
            <a:ln w="25400">
              <a:solidFill>
                <a:srgbClr val="FF99CC"/>
              </a:solidFill>
              <a:prstDash val="sysDash"/>
              <a:tailEnd type="stealth" w="lg" len="lg"/>
            </a:ln>
          </c:spPr>
          <c:marker>
            <c:symbol val="none"/>
          </c:marker>
          <c:dPt>
            <c:idx val="1"/>
            <c:bubble3D val="0"/>
          </c:dPt>
          <c:xVal>
            <c:numRef>
              <c:f>data!$P$39:$P$40</c:f>
              <c:numCache>
                <c:formatCode>General</c:formatCode>
                <c:ptCount val="2"/>
                <c:pt idx="0">
                  <c:v>0</c:v>
                </c:pt>
                <c:pt idx="1">
                  <c:v>40</c:v>
                </c:pt>
              </c:numCache>
            </c:numRef>
          </c:xVal>
          <c:yVal>
            <c:numRef>
              <c:f>data!$Q$39:$Q$40</c:f>
              <c:numCache>
                <c:formatCode>General</c:formatCode>
                <c:ptCount val="2"/>
                <c:pt idx="0">
                  <c:v>-100</c:v>
                </c:pt>
                <c:pt idx="1">
                  <c:v>-10500</c:v>
                </c:pt>
              </c:numCache>
            </c:numRef>
          </c:yVal>
          <c:smooth val="1"/>
        </c:ser>
        <c:ser>
          <c:idx val="13"/>
          <c:order val="8"/>
          <c:tx>
            <c:strRef>
              <c:f>data!$S$38</c:f>
              <c:strCache>
                <c:ptCount val="1"/>
                <c:pt idx="0">
                  <c:v>EndowBRay</c:v>
                </c:pt>
              </c:strCache>
            </c:strRef>
          </c:tx>
          <c:spPr>
            <a:ln w="25400">
              <a:solidFill>
                <a:srgbClr val="008080"/>
              </a:solidFill>
              <a:prstDash val="sysDash"/>
              <a:tailEnd type="stealth" w="lg" len="lg"/>
            </a:ln>
          </c:spPr>
          <c:marker>
            <c:symbol val="none"/>
          </c:marker>
          <c:xVal>
            <c:numRef>
              <c:f>data!$R$39:$R$40</c:f>
              <c:numCache>
                <c:formatCode>General</c:formatCode>
                <c:ptCount val="2"/>
                <c:pt idx="0">
                  <c:v>40</c:v>
                </c:pt>
                <c:pt idx="1">
                  <c:v>150</c:v>
                </c:pt>
              </c:numCache>
            </c:numRef>
          </c:xVal>
          <c:yVal>
            <c:numRef>
              <c:f>data!$S$39:$S$40</c:f>
              <c:numCache>
                <c:formatCode>General</c:formatCode>
                <c:ptCount val="2"/>
                <c:pt idx="0">
                  <c:v>-10500</c:v>
                </c:pt>
                <c:pt idx="1">
                  <c:v>-14000</c:v>
                </c:pt>
              </c:numCache>
            </c:numRef>
          </c:yVal>
          <c:smooth val="1"/>
        </c:ser>
        <c:ser>
          <c:idx val="15"/>
          <c:order val="9"/>
          <c:tx>
            <c:strRef>
              <c:f>data!$U$38</c:f>
              <c:strCache>
                <c:ptCount val="1"/>
                <c:pt idx="0">
                  <c:v>barter set</c:v>
                </c:pt>
              </c:strCache>
            </c:strRef>
          </c:tx>
          <c:spPr>
            <a:ln w="25400">
              <a:solidFill>
                <a:srgbClr val="800080"/>
              </a:solidFill>
              <a:prstDash val="solid"/>
            </a:ln>
          </c:spPr>
          <c:marker>
            <c:symbol val="none"/>
          </c:marker>
          <c:xVal>
            <c:numRef>
              <c:f>data!$T$39:$T$40</c:f>
              <c:numCache>
                <c:formatCode>0.0</c:formatCode>
                <c:ptCount val="2"/>
                <c:pt idx="0">
                  <c:v>50</c:v>
                </c:pt>
                <c:pt idx="1">
                  <c:v>50</c:v>
                </c:pt>
              </c:numCache>
            </c:numRef>
          </c:xVal>
          <c:yVal>
            <c:numRef>
              <c:f>data!$U$39:$U$40</c:f>
              <c:numCache>
                <c:formatCode>General</c:formatCode>
                <c:ptCount val="2"/>
                <c:pt idx="0">
                  <c:v>84</c:v>
                </c:pt>
                <c:pt idx="1">
                  <c:v>101.5</c:v>
                </c:pt>
              </c:numCache>
            </c:numRef>
          </c:yVal>
          <c:smooth val="1"/>
        </c:ser>
        <c:ser>
          <c:idx val="16"/>
          <c:order val="10"/>
          <c:tx>
            <c:strRef>
              <c:f>data!$W$38</c:f>
              <c:strCache>
                <c:ptCount val="1"/>
                <c:pt idx="0">
                  <c:v>BarterXY</c:v>
                </c:pt>
              </c:strCache>
            </c:strRef>
          </c:tx>
          <c:spPr>
            <a:ln w="25400">
              <a:solidFill>
                <a:srgbClr val="660066"/>
              </a:solidFill>
              <a:prstDash val="solid"/>
              <a:tailEnd type="stealth" w="med" len="lg"/>
            </a:ln>
          </c:spPr>
          <c:marker>
            <c:symbol val="none"/>
          </c:marker>
          <c:xVal>
            <c:numRef>
              <c:f>data!$V$39:$V$40</c:f>
              <c:numCache>
                <c:formatCode>0.0</c:formatCode>
                <c:ptCount val="2"/>
                <c:pt idx="0" formatCode="General">
                  <c:v>40</c:v>
                </c:pt>
                <c:pt idx="1">
                  <c:v>50</c:v>
                </c:pt>
              </c:numCache>
            </c:numRef>
          </c:xVal>
          <c:yVal>
            <c:numRef>
              <c:f>data!$W$39:$W$40</c:f>
              <c:numCache>
                <c:formatCode>0.0</c:formatCode>
                <c:ptCount val="2"/>
                <c:pt idx="0" formatCode="General">
                  <c:v>105</c:v>
                </c:pt>
                <c:pt idx="1">
                  <c:v>95.025000000000006</c:v>
                </c:pt>
              </c:numCache>
            </c:numRef>
          </c:yVal>
          <c:smooth val="1"/>
        </c:ser>
        <c:ser>
          <c:idx val="4"/>
          <c:order val="11"/>
          <c:tx>
            <c:strRef>
              <c:f>data!$E$38</c:f>
              <c:strCache>
                <c:ptCount val="1"/>
                <c:pt idx="0">
                  <c:v>box top</c:v>
                </c:pt>
              </c:strCache>
            </c:strRef>
          </c:tx>
          <c:spPr>
            <a:ln w="25400">
              <a:solidFill>
                <a:srgbClr val="0000FF"/>
              </a:solidFill>
              <a:prstDash val="solid"/>
              <a:headEnd type="stealth" w="lg" len="lg"/>
              <a:tailEnd type="stealth" w="lg" len="lg"/>
            </a:ln>
          </c:spPr>
          <c:marker>
            <c:symbol val="none"/>
          </c:marker>
          <c:xVal>
            <c:numRef>
              <c:f>data!$D$39:$D$43</c:f>
              <c:numCache>
                <c:formatCode>General</c:formatCode>
                <c:ptCount val="5"/>
                <c:pt idx="0">
                  <c:v>-20</c:v>
                </c:pt>
                <c:pt idx="1">
                  <c:v>150</c:v>
                </c:pt>
                <c:pt idx="2">
                  <c:v>150</c:v>
                </c:pt>
                <c:pt idx="3">
                  <c:v>150</c:v>
                </c:pt>
                <c:pt idx="4">
                  <c:v>150</c:v>
                </c:pt>
              </c:numCache>
            </c:numRef>
          </c:xVal>
          <c:yVal>
            <c:numRef>
              <c:f>data!$E$39:$E$43</c:f>
              <c:numCache>
                <c:formatCode>General</c:formatCode>
                <c:ptCount val="5"/>
                <c:pt idx="0">
                  <c:v>140</c:v>
                </c:pt>
                <c:pt idx="1">
                  <c:v>140</c:v>
                </c:pt>
                <c:pt idx="2">
                  <c:v>140</c:v>
                </c:pt>
                <c:pt idx="3">
                  <c:v>-20</c:v>
                </c:pt>
                <c:pt idx="4">
                  <c:v>-20</c:v>
                </c:pt>
              </c:numCache>
            </c:numRef>
          </c:yVal>
          <c:smooth val="1"/>
        </c:ser>
        <c:ser>
          <c:idx val="10"/>
          <c:order val="12"/>
          <c:tx>
            <c:strRef>
              <c:f>data!$C$38</c:f>
              <c:strCache>
                <c:ptCount val="1"/>
                <c:pt idx="0">
                  <c:v>box bottom</c:v>
                </c:pt>
              </c:strCache>
            </c:strRef>
          </c:tx>
          <c:spPr>
            <a:ln w="25400">
              <a:solidFill>
                <a:srgbClr val="FF0000"/>
              </a:solidFill>
              <a:prstDash val="solid"/>
              <a:headEnd type="stealth" w="lg" len="lg"/>
              <a:tailEnd type="stealth" w="lg" len="lg"/>
            </a:ln>
          </c:spPr>
          <c:marker>
            <c:symbol val="none"/>
          </c:marker>
          <c:xVal>
            <c:numRef>
              <c:f>data!$B$39:$B$45</c:f>
              <c:numCache>
                <c:formatCode>General</c:formatCode>
                <c:ptCount val="7"/>
                <c:pt idx="0">
                  <c:v>0</c:v>
                </c:pt>
                <c:pt idx="1">
                  <c:v>0</c:v>
                </c:pt>
                <c:pt idx="2">
                  <c:v>0</c:v>
                </c:pt>
                <c:pt idx="3">
                  <c:v>0</c:v>
                </c:pt>
                <c:pt idx="4">
                  <c:v>0</c:v>
                </c:pt>
                <c:pt idx="5">
                  <c:v>160</c:v>
                </c:pt>
                <c:pt idx="6">
                  <c:v>160</c:v>
                </c:pt>
              </c:numCache>
            </c:numRef>
          </c:xVal>
          <c:yVal>
            <c:numRef>
              <c:f>data!$C$39:$C$45</c:f>
              <c:numCache>
                <c:formatCode>General</c:formatCode>
                <c:ptCount val="7"/>
                <c:pt idx="0">
                  <c:v>150</c:v>
                </c:pt>
                <c:pt idx="1">
                  <c:v>150</c:v>
                </c:pt>
                <c:pt idx="2">
                  <c:v>150</c:v>
                </c:pt>
                <c:pt idx="3">
                  <c:v>0</c:v>
                </c:pt>
                <c:pt idx="4">
                  <c:v>0</c:v>
                </c:pt>
                <c:pt idx="5">
                  <c:v>0</c:v>
                </c:pt>
                <c:pt idx="6">
                  <c:v>0</c:v>
                </c:pt>
              </c:numCache>
            </c:numRef>
          </c:yVal>
          <c:smooth val="1"/>
        </c:ser>
        <c:ser>
          <c:idx val="14"/>
          <c:order val="13"/>
          <c:tx>
            <c:strRef>
              <c:f>data!$W$50</c:f>
              <c:strCache>
                <c:ptCount val="1"/>
                <c:pt idx="0">
                  <c:v>shifting Xaxis</c:v>
                </c:pt>
              </c:strCache>
            </c:strRef>
          </c:tx>
          <c:spPr>
            <a:ln w="25400">
              <a:solidFill>
                <a:srgbClr val="000000"/>
              </a:solidFill>
              <a:prstDash val="solid"/>
            </a:ln>
          </c:spPr>
          <c:marker>
            <c:symbol val="none"/>
          </c:marker>
          <c:xVal>
            <c:numRef>
              <c:f>data!$V$51:$V$52</c:f>
              <c:numCache>
                <c:formatCode>General</c:formatCode>
                <c:ptCount val="2"/>
                <c:pt idx="0">
                  <c:v>-20</c:v>
                </c:pt>
                <c:pt idx="1">
                  <c:v>0</c:v>
                </c:pt>
              </c:numCache>
            </c:numRef>
          </c:xVal>
          <c:yVal>
            <c:numRef>
              <c:f>data!$W$51:$W$52</c:f>
              <c:numCache>
                <c:formatCode>General</c:formatCode>
                <c:ptCount val="2"/>
                <c:pt idx="0">
                  <c:v>0</c:v>
                </c:pt>
                <c:pt idx="1">
                  <c:v>0</c:v>
                </c:pt>
              </c:numCache>
            </c:numRef>
          </c:yVal>
          <c:smooth val="1"/>
        </c:ser>
        <c:dLbls>
          <c:showLegendKey val="0"/>
          <c:showVal val="0"/>
          <c:showCatName val="0"/>
          <c:showSerName val="0"/>
          <c:showPercent val="0"/>
          <c:showBubbleSize val="0"/>
        </c:dLbls>
        <c:axId val="48396928"/>
        <c:axId val="48406912"/>
      </c:scatterChart>
      <c:valAx>
        <c:axId val="48396928"/>
        <c:scaling>
          <c:orientation val="minMax"/>
          <c:max val="160"/>
          <c:min val="-2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Times New Roman"/>
                <a:ea typeface="Times New Roman"/>
                <a:cs typeface="Times New Roman"/>
              </a:defRPr>
            </a:pPr>
            <a:endParaRPr lang="en-US"/>
          </a:p>
        </c:txPr>
        <c:crossAx val="48406912"/>
        <c:crossesAt val="0"/>
        <c:crossBetween val="midCat"/>
        <c:majorUnit val="20"/>
      </c:valAx>
      <c:valAx>
        <c:axId val="48406912"/>
        <c:scaling>
          <c:orientation val="minMax"/>
          <c:max val="150"/>
          <c:min val="-20"/>
        </c:scaling>
        <c:delete val="0"/>
        <c:axPos val="l"/>
        <c:numFmt formatCode="General" sourceLinked="1"/>
        <c:majorTickMark val="out"/>
        <c:minorTickMark val="none"/>
        <c:tickLblPos val="nextTo"/>
        <c:spPr>
          <a:ln w="25400">
            <a:solidFill>
              <a:srgbClr val="000000"/>
            </a:solidFill>
            <a:prstDash val="solid"/>
          </a:ln>
        </c:spPr>
        <c:txPr>
          <a:bodyPr rot="0" vert="horz"/>
          <a:lstStyle/>
          <a:p>
            <a:pPr>
              <a:defRPr sz="1075" b="0" i="0" u="none" strike="noStrike" baseline="0">
                <a:solidFill>
                  <a:srgbClr val="000000"/>
                </a:solidFill>
                <a:latin typeface="Times New Roman"/>
                <a:ea typeface="Times New Roman"/>
                <a:cs typeface="Times New Roman"/>
              </a:defRPr>
            </a:pPr>
            <a:endParaRPr lang="en-US"/>
          </a:p>
        </c:txPr>
        <c:crossAx val="48396928"/>
        <c:crosses val="autoZero"/>
        <c:crossBetween val="midCat"/>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data!$C$12</c:f>
              <c:strCache>
                <c:ptCount val="1"/>
                <c:pt idx="0">
                  <c:v>Ua0</c:v>
                </c:pt>
              </c:strCache>
            </c:strRef>
          </c:tx>
          <c:spPr>
            <a:ln w="25400">
              <a:solidFill>
                <a:srgbClr val="FF00FF"/>
              </a:solidFill>
              <a:prstDash val="solid"/>
            </a:ln>
          </c:spPr>
          <c:marker>
            <c:symbol val="none"/>
          </c:marker>
          <c:xVal>
            <c:numRef>
              <c:f>data!$B$13:$B$34</c:f>
              <c:numCache>
                <c:formatCode>General</c:formatCode>
                <c:ptCount val="22"/>
                <c:pt idx="0">
                  <c:v>-20</c:v>
                </c:pt>
                <c:pt idx="1">
                  <c:v>-10</c:v>
                </c:pt>
                <c:pt idx="2">
                  <c:v>0</c:v>
                </c:pt>
                <c:pt idx="3">
                  <c:v>5</c:v>
                </c:pt>
                <c:pt idx="4">
                  <c:v>10</c:v>
                </c:pt>
                <c:pt idx="5">
                  <c:v>20</c:v>
                </c:pt>
                <c:pt idx="6">
                  <c:v>30</c:v>
                </c:pt>
                <c:pt idx="7">
                  <c:v>40</c:v>
                </c:pt>
                <c:pt idx="8">
                  <c:v>50</c:v>
                </c:pt>
                <c:pt idx="9">
                  <c:v>60</c:v>
                </c:pt>
                <c:pt idx="10">
                  <c:v>70</c:v>
                </c:pt>
                <c:pt idx="11">
                  <c:v>80</c:v>
                </c:pt>
                <c:pt idx="12">
                  <c:v>90</c:v>
                </c:pt>
                <c:pt idx="13">
                  <c:v>100</c:v>
                </c:pt>
                <c:pt idx="14">
                  <c:v>110</c:v>
                </c:pt>
                <c:pt idx="15">
                  <c:v>120</c:v>
                </c:pt>
                <c:pt idx="16">
                  <c:v>130</c:v>
                </c:pt>
                <c:pt idx="17">
                  <c:v>140</c:v>
                </c:pt>
                <c:pt idx="18">
                  <c:v>145</c:v>
                </c:pt>
                <c:pt idx="19">
                  <c:v>150</c:v>
                </c:pt>
                <c:pt idx="20">
                  <c:v>160</c:v>
                </c:pt>
                <c:pt idx="21">
                  <c:v>170</c:v>
                </c:pt>
              </c:numCache>
            </c:numRef>
          </c:xVal>
          <c:yVal>
            <c:numRef>
              <c:f>data!$C$13:$C$34</c:f>
              <c:numCache>
                <c:formatCode>General</c:formatCode>
                <c:ptCount val="22"/>
                <c:pt idx="3">
                  <c:v>839.99999999999977</c:v>
                </c:pt>
                <c:pt idx="4">
                  <c:v>419.99999999999994</c:v>
                </c:pt>
                <c:pt idx="5">
                  <c:v>209.99999999999994</c:v>
                </c:pt>
                <c:pt idx="6">
                  <c:v>139.99999999999997</c:v>
                </c:pt>
                <c:pt idx="7">
                  <c:v>104.99999999999999</c:v>
                </c:pt>
                <c:pt idx="8">
                  <c:v>84</c:v>
                </c:pt>
                <c:pt idx="9">
                  <c:v>69.999999999999972</c:v>
                </c:pt>
                <c:pt idx="10">
                  <c:v>59.999999999999993</c:v>
                </c:pt>
                <c:pt idx="11">
                  <c:v>52.499999999999986</c:v>
                </c:pt>
                <c:pt idx="12">
                  <c:v>46.66666666666665</c:v>
                </c:pt>
                <c:pt idx="13">
                  <c:v>42</c:v>
                </c:pt>
                <c:pt idx="14">
                  <c:v>38.181818181818173</c:v>
                </c:pt>
                <c:pt idx="15">
                  <c:v>34.999999999999993</c:v>
                </c:pt>
                <c:pt idx="16">
                  <c:v>32.307692307692307</c:v>
                </c:pt>
                <c:pt idx="17">
                  <c:v>29.999999999999989</c:v>
                </c:pt>
                <c:pt idx="18">
                  <c:v>28.96551724137931</c:v>
                </c:pt>
                <c:pt idx="19">
                  <c:v>28.000000000000004</c:v>
                </c:pt>
                <c:pt idx="20">
                  <c:v>26.249999999999996</c:v>
                </c:pt>
                <c:pt idx="21">
                  <c:v>24.705882352941163</c:v>
                </c:pt>
              </c:numCache>
            </c:numRef>
          </c:yVal>
          <c:smooth val="1"/>
        </c:ser>
        <c:ser>
          <c:idx val="2"/>
          <c:order val="1"/>
          <c:tx>
            <c:strRef>
              <c:f>data!$K$12</c:f>
              <c:strCache>
                <c:ptCount val="1"/>
                <c:pt idx="0">
                  <c:v>Ub0</c:v>
                </c:pt>
              </c:strCache>
            </c:strRef>
          </c:tx>
          <c:spPr>
            <a:ln w="25400">
              <a:solidFill>
                <a:srgbClr val="33CCCC"/>
              </a:solidFill>
              <a:prstDash val="solid"/>
            </a:ln>
          </c:spPr>
          <c:marker>
            <c:symbol val="none"/>
          </c:marker>
          <c:xVal>
            <c:numRef>
              <c:f>data!$B$13:$B$31</c:f>
              <c:numCache>
                <c:formatCode>General</c:formatCode>
                <c:ptCount val="19"/>
                <c:pt idx="0">
                  <c:v>-20</c:v>
                </c:pt>
                <c:pt idx="1">
                  <c:v>-10</c:v>
                </c:pt>
                <c:pt idx="2">
                  <c:v>0</c:v>
                </c:pt>
                <c:pt idx="3">
                  <c:v>5</c:v>
                </c:pt>
                <c:pt idx="4">
                  <c:v>10</c:v>
                </c:pt>
                <c:pt idx="5">
                  <c:v>20</c:v>
                </c:pt>
                <c:pt idx="6">
                  <c:v>30</c:v>
                </c:pt>
                <c:pt idx="7">
                  <c:v>40</c:v>
                </c:pt>
                <c:pt idx="8">
                  <c:v>50</c:v>
                </c:pt>
                <c:pt idx="9">
                  <c:v>60</c:v>
                </c:pt>
                <c:pt idx="10">
                  <c:v>70</c:v>
                </c:pt>
                <c:pt idx="11">
                  <c:v>80</c:v>
                </c:pt>
                <c:pt idx="12">
                  <c:v>90</c:v>
                </c:pt>
                <c:pt idx="13">
                  <c:v>100</c:v>
                </c:pt>
                <c:pt idx="14">
                  <c:v>110</c:v>
                </c:pt>
                <c:pt idx="15">
                  <c:v>120</c:v>
                </c:pt>
                <c:pt idx="16">
                  <c:v>130</c:v>
                </c:pt>
                <c:pt idx="17">
                  <c:v>140</c:v>
                </c:pt>
                <c:pt idx="18">
                  <c:v>145</c:v>
                </c:pt>
              </c:numCache>
            </c:numRef>
          </c:xVal>
          <c:yVal>
            <c:numRef>
              <c:f>data!$K$13:$K$31</c:f>
              <c:numCache>
                <c:formatCode>General</c:formatCode>
                <c:ptCount val="19"/>
                <c:pt idx="0">
                  <c:v>117.35294117647059</c:v>
                </c:pt>
                <c:pt idx="1">
                  <c:v>115.9375</c:v>
                </c:pt>
                <c:pt idx="2">
                  <c:v>114.33333333333333</c:v>
                </c:pt>
                <c:pt idx="3">
                  <c:v>113.44827586206897</c:v>
                </c:pt>
                <c:pt idx="4">
                  <c:v>112.5</c:v>
                </c:pt>
                <c:pt idx="5">
                  <c:v>110.38461538461539</c:v>
                </c:pt>
                <c:pt idx="6">
                  <c:v>107.91666666666667</c:v>
                </c:pt>
                <c:pt idx="7">
                  <c:v>104.99999999999999</c:v>
                </c:pt>
                <c:pt idx="8">
                  <c:v>101.5</c:v>
                </c:pt>
                <c:pt idx="9">
                  <c:v>97.222222222222229</c:v>
                </c:pt>
                <c:pt idx="10">
                  <c:v>91.875</c:v>
                </c:pt>
                <c:pt idx="11">
                  <c:v>85</c:v>
                </c:pt>
                <c:pt idx="12">
                  <c:v>75.833333333333357</c:v>
                </c:pt>
                <c:pt idx="13">
                  <c:v>62.999999999999986</c:v>
                </c:pt>
                <c:pt idx="14">
                  <c:v>43.749999999999972</c:v>
                </c:pt>
                <c:pt idx="15">
                  <c:v>11.666666666666686</c:v>
                </c:pt>
                <c:pt idx="16">
                  <c:v>-52.5</c:v>
                </c:pt>
                <c:pt idx="17">
                  <c:v>-245.00000000000011</c:v>
                </c:pt>
                <c:pt idx="18">
                  <c:v>-630</c:v>
                </c:pt>
              </c:numCache>
            </c:numRef>
          </c:yVal>
          <c:smooth val="1"/>
        </c:ser>
        <c:ser>
          <c:idx val="4"/>
          <c:order val="2"/>
          <c:tx>
            <c:strRef>
              <c:f>data!$E$38</c:f>
              <c:strCache>
                <c:ptCount val="1"/>
                <c:pt idx="0">
                  <c:v>box top</c:v>
                </c:pt>
              </c:strCache>
            </c:strRef>
          </c:tx>
          <c:spPr>
            <a:ln w="25400">
              <a:solidFill>
                <a:srgbClr val="000000"/>
              </a:solidFill>
              <a:prstDash val="solid"/>
            </a:ln>
          </c:spPr>
          <c:marker>
            <c:symbol val="none"/>
          </c:marker>
          <c:xVal>
            <c:numRef>
              <c:f>data!$D$39:$D$43</c:f>
              <c:numCache>
                <c:formatCode>General</c:formatCode>
                <c:ptCount val="5"/>
                <c:pt idx="0">
                  <c:v>-20</c:v>
                </c:pt>
                <c:pt idx="1">
                  <c:v>150</c:v>
                </c:pt>
                <c:pt idx="2">
                  <c:v>150</c:v>
                </c:pt>
                <c:pt idx="3">
                  <c:v>150</c:v>
                </c:pt>
                <c:pt idx="4">
                  <c:v>150</c:v>
                </c:pt>
              </c:numCache>
            </c:numRef>
          </c:xVal>
          <c:yVal>
            <c:numRef>
              <c:f>data!$E$39:$E$43</c:f>
              <c:numCache>
                <c:formatCode>General</c:formatCode>
                <c:ptCount val="5"/>
                <c:pt idx="0">
                  <c:v>140</c:v>
                </c:pt>
                <c:pt idx="1">
                  <c:v>140</c:v>
                </c:pt>
                <c:pt idx="2">
                  <c:v>140</c:v>
                </c:pt>
                <c:pt idx="3">
                  <c:v>-20</c:v>
                </c:pt>
                <c:pt idx="4">
                  <c:v>-20</c:v>
                </c:pt>
              </c:numCache>
            </c:numRef>
          </c:yVal>
          <c:smooth val="1"/>
        </c:ser>
        <c:ser>
          <c:idx val="6"/>
          <c:order val="3"/>
          <c:tx>
            <c:strRef>
              <c:f>data!$I$38</c:f>
              <c:strCache>
                <c:ptCount val="1"/>
                <c:pt idx="0">
                  <c:v>endowA</c:v>
                </c:pt>
              </c:strCache>
            </c:strRef>
          </c:tx>
          <c:spPr>
            <a:ln w="12700">
              <a:solidFill>
                <a:srgbClr val="FF9900"/>
              </a:solidFill>
              <a:prstDash val="sysDash"/>
            </a:ln>
          </c:spPr>
          <c:marker>
            <c:symbol val="none"/>
          </c:marker>
          <c:xVal>
            <c:numRef>
              <c:f>data!$H$39:$H$43</c:f>
              <c:numCache>
                <c:formatCode>General</c:formatCode>
                <c:ptCount val="5"/>
                <c:pt idx="0">
                  <c:v>0</c:v>
                </c:pt>
                <c:pt idx="1">
                  <c:v>40</c:v>
                </c:pt>
                <c:pt idx="2">
                  <c:v>40</c:v>
                </c:pt>
                <c:pt idx="3">
                  <c:v>40</c:v>
                </c:pt>
                <c:pt idx="4">
                  <c:v>40</c:v>
                </c:pt>
              </c:numCache>
            </c:numRef>
          </c:xVal>
          <c:yVal>
            <c:numRef>
              <c:f>data!$I$39:$I$43</c:f>
              <c:numCache>
                <c:formatCode>General</c:formatCode>
                <c:ptCount val="5"/>
                <c:pt idx="0">
                  <c:v>105</c:v>
                </c:pt>
                <c:pt idx="1">
                  <c:v>105</c:v>
                </c:pt>
                <c:pt idx="2">
                  <c:v>105</c:v>
                </c:pt>
                <c:pt idx="3">
                  <c:v>0</c:v>
                </c:pt>
                <c:pt idx="4">
                  <c:v>0</c:v>
                </c:pt>
              </c:numCache>
            </c:numRef>
          </c:yVal>
          <c:smooth val="1"/>
        </c:ser>
        <c:ser>
          <c:idx val="7"/>
          <c:order val="4"/>
          <c:tx>
            <c:strRef>
              <c:f>data!$K$38</c:f>
              <c:strCache>
                <c:ptCount val="1"/>
                <c:pt idx="0">
                  <c:v>endowB</c:v>
                </c:pt>
              </c:strCache>
            </c:strRef>
          </c:tx>
          <c:spPr>
            <a:ln w="12700">
              <a:solidFill>
                <a:srgbClr val="3366FF"/>
              </a:solidFill>
              <a:prstDash val="sysDash"/>
            </a:ln>
          </c:spPr>
          <c:marker>
            <c:symbol val="none"/>
          </c:marker>
          <c:xVal>
            <c:numRef>
              <c:f>data!$J$39:$J$43</c:f>
              <c:numCache>
                <c:formatCode>General</c:formatCode>
                <c:ptCount val="5"/>
                <c:pt idx="0">
                  <c:v>40</c:v>
                </c:pt>
                <c:pt idx="1">
                  <c:v>40</c:v>
                </c:pt>
                <c:pt idx="2">
                  <c:v>40</c:v>
                </c:pt>
                <c:pt idx="3">
                  <c:v>150</c:v>
                </c:pt>
                <c:pt idx="4">
                  <c:v>150</c:v>
                </c:pt>
              </c:numCache>
            </c:numRef>
          </c:xVal>
          <c:yVal>
            <c:numRef>
              <c:f>data!$K$39:$K$43</c:f>
              <c:numCache>
                <c:formatCode>General</c:formatCode>
                <c:ptCount val="5"/>
                <c:pt idx="0">
                  <c:v>140</c:v>
                </c:pt>
                <c:pt idx="1">
                  <c:v>105</c:v>
                </c:pt>
                <c:pt idx="2">
                  <c:v>105</c:v>
                </c:pt>
                <c:pt idx="3">
                  <c:v>105</c:v>
                </c:pt>
                <c:pt idx="4">
                  <c:v>105</c:v>
                </c:pt>
              </c:numCache>
            </c:numRef>
          </c:yVal>
          <c:smooth val="1"/>
        </c:ser>
        <c:ser>
          <c:idx val="11"/>
          <c:order val="5"/>
          <c:tx>
            <c:strRef>
              <c:f>data!$N$12</c:f>
              <c:strCache>
                <c:ptCount val="1"/>
                <c:pt idx="0">
                  <c:v>Contract Curve</c:v>
                </c:pt>
              </c:strCache>
            </c:strRef>
          </c:tx>
          <c:spPr>
            <a:ln w="12700">
              <a:solidFill>
                <a:srgbClr val="99CC00"/>
              </a:solidFill>
              <a:prstDash val="solid"/>
            </a:ln>
          </c:spPr>
          <c:marker>
            <c:symbol val="none"/>
          </c:marker>
          <c:xVal>
            <c:numRef>
              <c:f>data!$B$15:$B$32</c:f>
              <c:numCache>
                <c:formatCode>General</c:formatCode>
                <c:ptCount val="18"/>
                <c:pt idx="0">
                  <c:v>0</c:v>
                </c:pt>
                <c:pt idx="1">
                  <c:v>5</c:v>
                </c:pt>
                <c:pt idx="2">
                  <c:v>10</c:v>
                </c:pt>
                <c:pt idx="3">
                  <c:v>20</c:v>
                </c:pt>
                <c:pt idx="4">
                  <c:v>30</c:v>
                </c:pt>
                <c:pt idx="5">
                  <c:v>40</c:v>
                </c:pt>
                <c:pt idx="6">
                  <c:v>50</c:v>
                </c:pt>
                <c:pt idx="7">
                  <c:v>60</c:v>
                </c:pt>
                <c:pt idx="8">
                  <c:v>70</c:v>
                </c:pt>
                <c:pt idx="9">
                  <c:v>80</c:v>
                </c:pt>
                <c:pt idx="10">
                  <c:v>90</c:v>
                </c:pt>
                <c:pt idx="11">
                  <c:v>100</c:v>
                </c:pt>
                <c:pt idx="12">
                  <c:v>110</c:v>
                </c:pt>
                <c:pt idx="13">
                  <c:v>120</c:v>
                </c:pt>
                <c:pt idx="14">
                  <c:v>130</c:v>
                </c:pt>
                <c:pt idx="15">
                  <c:v>140</c:v>
                </c:pt>
                <c:pt idx="16">
                  <c:v>145</c:v>
                </c:pt>
                <c:pt idx="17">
                  <c:v>150</c:v>
                </c:pt>
              </c:numCache>
            </c:numRef>
          </c:xVal>
          <c:yVal>
            <c:numRef>
              <c:f>data!$N$15:$N$32</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yVal>
          <c:smooth val="1"/>
        </c:ser>
        <c:ser>
          <c:idx val="10"/>
          <c:order val="6"/>
          <c:tx>
            <c:strRef>
              <c:f>data!$C$38</c:f>
              <c:strCache>
                <c:ptCount val="1"/>
                <c:pt idx="0">
                  <c:v>box bottom</c:v>
                </c:pt>
              </c:strCache>
            </c:strRef>
          </c:tx>
          <c:spPr>
            <a:ln w="25400">
              <a:solidFill>
                <a:srgbClr val="000000"/>
              </a:solidFill>
              <a:prstDash val="solid"/>
            </a:ln>
          </c:spPr>
          <c:marker>
            <c:symbol val="none"/>
          </c:marker>
          <c:xVal>
            <c:numRef>
              <c:f>data!$B$39:$B$45</c:f>
              <c:numCache>
                <c:formatCode>General</c:formatCode>
                <c:ptCount val="7"/>
                <c:pt idx="0">
                  <c:v>0</c:v>
                </c:pt>
                <c:pt idx="1">
                  <c:v>0</c:v>
                </c:pt>
                <c:pt idx="2">
                  <c:v>0</c:v>
                </c:pt>
                <c:pt idx="3">
                  <c:v>0</c:v>
                </c:pt>
                <c:pt idx="4">
                  <c:v>0</c:v>
                </c:pt>
                <c:pt idx="5">
                  <c:v>160</c:v>
                </c:pt>
                <c:pt idx="6">
                  <c:v>160</c:v>
                </c:pt>
              </c:numCache>
            </c:numRef>
          </c:xVal>
          <c:yVal>
            <c:numRef>
              <c:f>data!$C$39:$C$45</c:f>
              <c:numCache>
                <c:formatCode>General</c:formatCode>
                <c:ptCount val="7"/>
                <c:pt idx="0">
                  <c:v>150</c:v>
                </c:pt>
                <c:pt idx="1">
                  <c:v>150</c:v>
                </c:pt>
                <c:pt idx="2">
                  <c:v>150</c:v>
                </c:pt>
                <c:pt idx="3">
                  <c:v>0</c:v>
                </c:pt>
                <c:pt idx="4">
                  <c:v>0</c:v>
                </c:pt>
                <c:pt idx="5">
                  <c:v>0</c:v>
                </c:pt>
                <c:pt idx="6">
                  <c:v>0</c:v>
                </c:pt>
              </c:numCache>
            </c:numRef>
          </c:yVal>
          <c:smooth val="1"/>
        </c:ser>
        <c:ser>
          <c:idx val="12"/>
          <c:order val="7"/>
          <c:tx>
            <c:strRef>
              <c:f>data!$Q$38</c:f>
              <c:strCache>
                <c:ptCount val="1"/>
                <c:pt idx="0">
                  <c:v>EndowARay</c:v>
                </c:pt>
              </c:strCache>
            </c:strRef>
          </c:tx>
          <c:spPr>
            <a:ln w="12700">
              <a:solidFill>
                <a:srgbClr val="FF99CC"/>
              </a:solidFill>
              <a:prstDash val="sysDash"/>
            </a:ln>
          </c:spPr>
          <c:marker>
            <c:symbol val="none"/>
          </c:marker>
          <c:xVal>
            <c:numRef>
              <c:f>data!$P$39:$P$40</c:f>
              <c:numCache>
                <c:formatCode>General</c:formatCode>
                <c:ptCount val="2"/>
                <c:pt idx="0">
                  <c:v>0</c:v>
                </c:pt>
                <c:pt idx="1">
                  <c:v>40</c:v>
                </c:pt>
              </c:numCache>
            </c:numRef>
          </c:xVal>
          <c:yVal>
            <c:numRef>
              <c:f>data!$Q$39:$Q$40</c:f>
              <c:numCache>
                <c:formatCode>General</c:formatCode>
                <c:ptCount val="2"/>
                <c:pt idx="0">
                  <c:v>-100</c:v>
                </c:pt>
                <c:pt idx="1">
                  <c:v>-10500</c:v>
                </c:pt>
              </c:numCache>
            </c:numRef>
          </c:yVal>
          <c:smooth val="1"/>
        </c:ser>
        <c:ser>
          <c:idx val="13"/>
          <c:order val="8"/>
          <c:tx>
            <c:strRef>
              <c:f>data!$S$38</c:f>
              <c:strCache>
                <c:ptCount val="1"/>
                <c:pt idx="0">
                  <c:v>EndowBRay</c:v>
                </c:pt>
              </c:strCache>
            </c:strRef>
          </c:tx>
          <c:spPr>
            <a:ln w="12700">
              <a:solidFill>
                <a:srgbClr val="008080"/>
              </a:solidFill>
              <a:prstDash val="sysDash"/>
            </a:ln>
          </c:spPr>
          <c:marker>
            <c:symbol val="none"/>
          </c:marker>
          <c:xVal>
            <c:numRef>
              <c:f>data!$R$39:$R$40</c:f>
              <c:numCache>
                <c:formatCode>General</c:formatCode>
                <c:ptCount val="2"/>
                <c:pt idx="0">
                  <c:v>40</c:v>
                </c:pt>
                <c:pt idx="1">
                  <c:v>150</c:v>
                </c:pt>
              </c:numCache>
            </c:numRef>
          </c:xVal>
          <c:yVal>
            <c:numRef>
              <c:f>data!$S$39:$S$40</c:f>
              <c:numCache>
                <c:formatCode>General</c:formatCode>
                <c:ptCount val="2"/>
                <c:pt idx="0">
                  <c:v>-10500</c:v>
                </c:pt>
                <c:pt idx="1">
                  <c:v>-14000</c:v>
                </c:pt>
              </c:numCache>
            </c:numRef>
          </c:yVal>
          <c:smooth val="1"/>
        </c:ser>
        <c:ser>
          <c:idx val="14"/>
          <c:order val="9"/>
          <c:tx>
            <c:strRef>
              <c:f>data!$E$12</c:f>
              <c:strCache>
                <c:ptCount val="1"/>
                <c:pt idx="0">
                  <c:v>UaBarter</c:v>
                </c:pt>
              </c:strCache>
            </c:strRef>
          </c:tx>
          <c:spPr>
            <a:ln w="25400">
              <a:solidFill>
                <a:srgbClr val="FF0000"/>
              </a:solidFill>
              <a:prstDash val="solid"/>
            </a:ln>
          </c:spPr>
          <c:marker>
            <c:symbol val="none"/>
          </c:marker>
          <c:xVal>
            <c:numRef>
              <c:f>data!$B$16:$B$34</c:f>
              <c:numCache>
                <c:formatCode>General</c:formatCode>
                <c:ptCount val="19"/>
                <c:pt idx="0">
                  <c:v>5</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145</c:v>
                </c:pt>
                <c:pt idx="16">
                  <c:v>150</c:v>
                </c:pt>
                <c:pt idx="17">
                  <c:v>160</c:v>
                </c:pt>
                <c:pt idx="18">
                  <c:v>170</c:v>
                </c:pt>
              </c:numCache>
            </c:numRef>
          </c:xVal>
          <c:yVal>
            <c:numRef>
              <c:f>data!$E$16:$E$34</c:f>
              <c:numCache>
                <c:formatCode>General</c:formatCode>
                <c:ptCount val="19"/>
                <c:pt idx="0">
                  <c:v>950.25000000000011</c:v>
                </c:pt>
                <c:pt idx="1">
                  <c:v>475.12500000000006</c:v>
                </c:pt>
                <c:pt idx="2">
                  <c:v>237.56250000000003</c:v>
                </c:pt>
                <c:pt idx="3">
                  <c:v>158.37500000000003</c:v>
                </c:pt>
                <c:pt idx="4">
                  <c:v>118.78125000000001</c:v>
                </c:pt>
                <c:pt idx="5">
                  <c:v>95.025000000000006</c:v>
                </c:pt>
                <c:pt idx="6">
                  <c:v>79.187499999999986</c:v>
                </c:pt>
                <c:pt idx="7">
                  <c:v>67.875</c:v>
                </c:pt>
                <c:pt idx="8">
                  <c:v>59.390625000000007</c:v>
                </c:pt>
                <c:pt idx="9">
                  <c:v>52.791666666666671</c:v>
                </c:pt>
                <c:pt idx="10">
                  <c:v>47.512500000000017</c:v>
                </c:pt>
                <c:pt idx="11">
                  <c:v>43.193181818181827</c:v>
                </c:pt>
                <c:pt idx="12">
                  <c:v>39.593750000000007</c:v>
                </c:pt>
                <c:pt idx="13">
                  <c:v>36.548076923076934</c:v>
                </c:pt>
                <c:pt idx="14">
                  <c:v>33.9375</c:v>
                </c:pt>
                <c:pt idx="15">
                  <c:v>32.767241379310349</c:v>
                </c:pt>
                <c:pt idx="16">
                  <c:v>31.675000000000011</c:v>
                </c:pt>
                <c:pt idx="17">
                  <c:v>29.695312500000004</c:v>
                </c:pt>
                <c:pt idx="18">
                  <c:v>27.948529411764703</c:v>
                </c:pt>
              </c:numCache>
            </c:numRef>
          </c:yVal>
          <c:smooth val="1"/>
        </c:ser>
        <c:ser>
          <c:idx val="15"/>
          <c:order val="10"/>
          <c:tx>
            <c:strRef>
              <c:f>data!$M$12</c:f>
              <c:strCache>
                <c:ptCount val="1"/>
                <c:pt idx="0">
                  <c:v>UbBarter</c:v>
                </c:pt>
              </c:strCache>
            </c:strRef>
          </c:tx>
          <c:spPr>
            <a:ln w="25400">
              <a:solidFill>
                <a:srgbClr val="0000FF"/>
              </a:solidFill>
              <a:prstDash val="solid"/>
            </a:ln>
          </c:spPr>
          <c:marker>
            <c:symbol val="none"/>
          </c:marker>
          <c:xVal>
            <c:numRef>
              <c:f>data!$B$13:$B$31</c:f>
              <c:numCache>
                <c:formatCode>General</c:formatCode>
                <c:ptCount val="19"/>
                <c:pt idx="0">
                  <c:v>-20</c:v>
                </c:pt>
                <c:pt idx="1">
                  <c:v>-10</c:v>
                </c:pt>
                <c:pt idx="2">
                  <c:v>0</c:v>
                </c:pt>
                <c:pt idx="3">
                  <c:v>5</c:v>
                </c:pt>
                <c:pt idx="4">
                  <c:v>10</c:v>
                </c:pt>
                <c:pt idx="5">
                  <c:v>20</c:v>
                </c:pt>
                <c:pt idx="6">
                  <c:v>30</c:v>
                </c:pt>
                <c:pt idx="7">
                  <c:v>40</c:v>
                </c:pt>
                <c:pt idx="8">
                  <c:v>50</c:v>
                </c:pt>
                <c:pt idx="9">
                  <c:v>60</c:v>
                </c:pt>
                <c:pt idx="10">
                  <c:v>70</c:v>
                </c:pt>
                <c:pt idx="11">
                  <c:v>80</c:v>
                </c:pt>
                <c:pt idx="12">
                  <c:v>90</c:v>
                </c:pt>
                <c:pt idx="13">
                  <c:v>100</c:v>
                </c:pt>
                <c:pt idx="14">
                  <c:v>110</c:v>
                </c:pt>
                <c:pt idx="15">
                  <c:v>120</c:v>
                </c:pt>
                <c:pt idx="16">
                  <c:v>130</c:v>
                </c:pt>
                <c:pt idx="17">
                  <c:v>140</c:v>
                </c:pt>
                <c:pt idx="18">
                  <c:v>145</c:v>
                </c:pt>
              </c:numCache>
            </c:numRef>
          </c:xVal>
          <c:yVal>
            <c:numRef>
              <c:f>data!$M$13:$M$31</c:f>
              <c:numCache>
                <c:formatCode>General</c:formatCode>
                <c:ptCount val="19"/>
                <c:pt idx="0">
                  <c:v>113.54411764705884</c:v>
                </c:pt>
                <c:pt idx="1">
                  <c:v>111.890625</c:v>
                </c:pt>
                <c:pt idx="2">
                  <c:v>110.01666666666668</c:v>
                </c:pt>
                <c:pt idx="3">
                  <c:v>108.98275862068965</c:v>
                </c:pt>
                <c:pt idx="4">
                  <c:v>107.875</c:v>
                </c:pt>
                <c:pt idx="5">
                  <c:v>105.40384615384616</c:v>
                </c:pt>
                <c:pt idx="6">
                  <c:v>102.52083333333334</c:v>
                </c:pt>
                <c:pt idx="7">
                  <c:v>99.11363636363636</c:v>
                </c:pt>
                <c:pt idx="8">
                  <c:v>95.025000000000006</c:v>
                </c:pt>
                <c:pt idx="9">
                  <c:v>90.0277777777778</c:v>
                </c:pt>
                <c:pt idx="10">
                  <c:v>83.781250000000028</c:v>
                </c:pt>
                <c:pt idx="11">
                  <c:v>75.750000000000014</c:v>
                </c:pt>
                <c:pt idx="12">
                  <c:v>65.041666666666714</c:v>
                </c:pt>
                <c:pt idx="13">
                  <c:v>50.050000000000011</c:v>
                </c:pt>
                <c:pt idx="14">
                  <c:v>27.5625</c:v>
                </c:pt>
                <c:pt idx="15">
                  <c:v>-9.9166666666666003</c:v>
                </c:pt>
                <c:pt idx="16">
                  <c:v>-84.874999999999915</c:v>
                </c:pt>
                <c:pt idx="17">
                  <c:v>-309.75</c:v>
                </c:pt>
                <c:pt idx="18">
                  <c:v>-759.49999999999966</c:v>
                </c:pt>
              </c:numCache>
            </c:numRef>
          </c:yVal>
          <c:smooth val="1"/>
        </c:ser>
        <c:ser>
          <c:idx val="16"/>
          <c:order val="11"/>
          <c:tx>
            <c:strRef>
              <c:f>data!$U$38</c:f>
              <c:strCache>
                <c:ptCount val="1"/>
                <c:pt idx="0">
                  <c:v>barter set</c:v>
                </c:pt>
              </c:strCache>
            </c:strRef>
          </c:tx>
          <c:spPr>
            <a:ln w="25400">
              <a:solidFill>
                <a:srgbClr val="800080"/>
              </a:solidFill>
              <a:prstDash val="solid"/>
            </a:ln>
          </c:spPr>
          <c:marker>
            <c:symbol val="none"/>
          </c:marker>
          <c:xVal>
            <c:numRef>
              <c:f>data!$T$39:$T$40</c:f>
              <c:numCache>
                <c:formatCode>0.0</c:formatCode>
                <c:ptCount val="2"/>
                <c:pt idx="0">
                  <c:v>50</c:v>
                </c:pt>
                <c:pt idx="1">
                  <c:v>50</c:v>
                </c:pt>
              </c:numCache>
            </c:numRef>
          </c:xVal>
          <c:yVal>
            <c:numRef>
              <c:f>data!$U$39:$U$40</c:f>
              <c:numCache>
                <c:formatCode>General</c:formatCode>
                <c:ptCount val="2"/>
                <c:pt idx="0">
                  <c:v>84</c:v>
                </c:pt>
                <c:pt idx="1">
                  <c:v>101.5</c:v>
                </c:pt>
              </c:numCache>
            </c:numRef>
          </c:yVal>
          <c:smooth val="1"/>
        </c:ser>
        <c:ser>
          <c:idx val="17"/>
          <c:order val="12"/>
          <c:tx>
            <c:strRef>
              <c:f>data!$W$38</c:f>
              <c:strCache>
                <c:ptCount val="1"/>
                <c:pt idx="0">
                  <c:v>BarterXY</c:v>
                </c:pt>
              </c:strCache>
            </c:strRef>
          </c:tx>
          <c:spPr>
            <a:ln w="12700">
              <a:solidFill>
                <a:srgbClr val="993366"/>
              </a:solidFill>
              <a:prstDash val="solid"/>
            </a:ln>
          </c:spPr>
          <c:marker>
            <c:symbol val="none"/>
          </c:marker>
          <c:xVal>
            <c:numRef>
              <c:f>data!$V$39:$V$40</c:f>
              <c:numCache>
                <c:formatCode>0.0</c:formatCode>
                <c:ptCount val="2"/>
                <c:pt idx="0" formatCode="General">
                  <c:v>40</c:v>
                </c:pt>
                <c:pt idx="1">
                  <c:v>50</c:v>
                </c:pt>
              </c:numCache>
            </c:numRef>
          </c:xVal>
          <c:yVal>
            <c:numRef>
              <c:f>data!$W$39:$W$40</c:f>
              <c:numCache>
                <c:formatCode>0.0</c:formatCode>
                <c:ptCount val="2"/>
                <c:pt idx="0" formatCode="General">
                  <c:v>105</c:v>
                </c:pt>
                <c:pt idx="1">
                  <c:v>95.025000000000006</c:v>
                </c:pt>
              </c:numCache>
            </c:numRef>
          </c:yVal>
          <c:smooth val="1"/>
        </c:ser>
        <c:dLbls>
          <c:showLegendKey val="0"/>
          <c:showVal val="0"/>
          <c:showCatName val="0"/>
          <c:showSerName val="0"/>
          <c:showPercent val="0"/>
          <c:showBubbleSize val="0"/>
        </c:dLbls>
        <c:axId val="48494464"/>
        <c:axId val="48496000"/>
      </c:scatterChart>
      <c:valAx>
        <c:axId val="48494464"/>
        <c:scaling>
          <c:orientation val="minMax"/>
          <c:max val="160"/>
          <c:min val="-2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8496000"/>
        <c:crosses val="autoZero"/>
        <c:crossBetween val="midCat"/>
        <c:majorUnit val="20"/>
      </c:valAx>
      <c:valAx>
        <c:axId val="48496000"/>
        <c:scaling>
          <c:orientation val="minMax"/>
          <c:max val="150"/>
          <c:min val="-2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8494464"/>
        <c:crosses val="autoZero"/>
        <c:crossBetween val="midCat"/>
        <c:majorUnit val="20"/>
      </c:valAx>
      <c:spPr>
        <a:noFill/>
        <a:ln w="25400">
          <a:noFill/>
        </a:ln>
      </c:spPr>
    </c:plotArea>
    <c:plotVisOnly val="1"/>
    <c:dispBlanksAs val="gap"/>
    <c:showDLblsOverMax val="0"/>
  </c:chart>
  <c:spPr>
    <a:no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CheckBox" checked="Checked" fmlaLink="'15-17,2GraphBarter'!$B$48" lockText="1"/>
</file>

<file path=xl/ctrlProps/ctrlProp10.xml><?xml version="1.0" encoding="utf-8"?>
<formControlPr xmlns="http://schemas.microsoft.com/office/spreadsheetml/2009/9/main" objectType="CheckBox" checked="Checked" fmlaLink="data!$U$36" lockText="1"/>
</file>

<file path=xl/ctrlProps/ctrlProp11.xml><?xml version="1.0" encoding="utf-8"?>
<formControlPr xmlns="http://schemas.microsoft.com/office/spreadsheetml/2009/9/main" objectType="CheckBox" checked="Checked" fmlaLink="data!$E$10" lockText="1"/>
</file>

<file path=xl/ctrlProps/ctrlProp12.xml><?xml version="1.0" encoding="utf-8"?>
<formControlPr xmlns="http://schemas.microsoft.com/office/spreadsheetml/2009/9/main" objectType="CheckBox" fmlaLink="'15-17,2GraphBarter'!$J$48" lockText="1"/>
</file>

<file path=xl/ctrlProps/ctrlProp13.xml><?xml version="1.0" encoding="utf-8"?>
<formControlPr xmlns="http://schemas.microsoft.com/office/spreadsheetml/2009/9/main" objectType="CheckBox" fmlaLink="'15-17,2GraphBarter'!$L$48" lockText="1"/>
</file>

<file path=xl/ctrlProps/ctrlProp14.xml><?xml version="1.0" encoding="utf-8"?>
<formControlPr xmlns="http://schemas.microsoft.com/office/spreadsheetml/2009/9/main" objectType="CheckBox" checked="Checked" fmlaLink="data!$D$3" lockText="1"/>
</file>

<file path=xl/ctrlProps/ctrlProp15.xml><?xml version="1.0" encoding="utf-8"?>
<formControlPr xmlns="http://schemas.microsoft.com/office/spreadsheetml/2009/9/main" objectType="CheckBox" checked="Checked" fmlaLink="'15-17,2GraphBarter'!$D$48" lockText="1"/>
</file>

<file path=xl/ctrlProps/ctrlProp16.xml><?xml version="1.0" encoding="utf-8"?>
<formControlPr xmlns="http://schemas.microsoft.com/office/spreadsheetml/2009/9/main" objectType="CheckBox" checked="Checked" fmlaLink="data!$D$4" lockText="1"/>
</file>

<file path=xl/ctrlProps/ctrlProp17.xml><?xml version="1.0" encoding="utf-8"?>
<formControlPr xmlns="http://schemas.microsoft.com/office/spreadsheetml/2009/9/main" objectType="CheckBox" checked="Checked" fmlaLink="data!$T$7" lockText="1"/>
</file>

<file path=xl/ctrlProps/ctrlProp18.xml><?xml version="1.0" encoding="utf-8"?>
<formControlPr xmlns="http://schemas.microsoft.com/office/spreadsheetml/2009/9/main" objectType="Scroll" dx="15" fmlaLink="data!$E$7" horiz="1" max="1490" min="10" page="50" val="500"/>
</file>

<file path=xl/ctrlProps/ctrlProp19.xml><?xml version="1.0" encoding="utf-8"?>
<formControlPr xmlns="http://schemas.microsoft.com/office/spreadsheetml/2009/9/main" objectType="Scroll" dx="15" fmlaLink="data!$E$8" horiz="1" max="200" page="10" val="74"/>
</file>

<file path=xl/ctrlProps/ctrlProp2.xml><?xml version="1.0" encoding="utf-8"?>
<formControlPr xmlns="http://schemas.microsoft.com/office/spreadsheetml/2009/9/main" objectType="CheckBox" fmlaLink="'15-17,2GraphBarter'!$H$48" lockText="1"/>
</file>

<file path=xl/ctrlProps/ctrlProp20.xml><?xml version="1.0" encoding="utf-8"?>
<formControlPr xmlns="http://schemas.microsoft.com/office/spreadsheetml/2009/9/main" objectType="CheckBox" checked="Checked" fmlaLink="data!$S$7" lockText="1"/>
</file>

<file path=xl/ctrlProps/ctrlProp21.xml><?xml version="1.0" encoding="utf-8"?>
<formControlPr xmlns="http://schemas.microsoft.com/office/spreadsheetml/2009/9/main" objectType="CheckBox" fmlaLink="'15-17,2GraphBarter'!$F$59" lockText="1"/>
</file>

<file path=xl/ctrlProps/ctrlProp22.xml><?xml version="1.0" encoding="utf-8"?>
<formControlPr xmlns="http://schemas.microsoft.com/office/spreadsheetml/2009/9/main" objectType="CheckBox" fmlaLink="'15-17,2GraphBarter'!$H$59" lockText="1"/>
</file>

<file path=xl/ctrlProps/ctrlProp23.xml><?xml version="1.0" encoding="utf-8"?>
<formControlPr xmlns="http://schemas.microsoft.com/office/spreadsheetml/2009/9/main" objectType="CheckBox" checked="Checked" fmlaLink="data!$E$36" lockText="1"/>
</file>

<file path=xl/ctrlProps/ctrlProp24.xml><?xml version="1.0" encoding="utf-8"?>
<formControlPr xmlns="http://schemas.microsoft.com/office/spreadsheetml/2009/9/main" objectType="CheckBox" checked="Checked" fmlaLink="data!$C$36" lockText="1"/>
</file>

<file path=xl/ctrlProps/ctrlProp25.xml><?xml version="1.0" encoding="utf-8"?>
<formControlPr xmlns="http://schemas.microsoft.com/office/spreadsheetml/2009/9/main" objectType="CheckBox" checked="Checked" fmlaLink="'18allocations'!$D$28" lockText="1"/>
</file>

<file path=xl/ctrlProps/ctrlProp26.xml><?xml version="1.0" encoding="utf-8"?>
<formControlPr xmlns="http://schemas.microsoft.com/office/spreadsheetml/2009/9/main" objectType="CheckBox" checked="Checked" fmlaLink="'18allocations'!$B$28" lockText="1"/>
</file>

<file path=xl/ctrlProps/ctrlProp27.xml><?xml version="1.0" encoding="utf-8"?>
<formControlPr xmlns="http://schemas.microsoft.com/office/spreadsheetml/2009/9/main" objectType="Scroll" dx="15" fmlaLink="'18allocations'!$D$27" horiz="1" max="150" page="5" val="75"/>
</file>

<file path=xl/ctrlProps/ctrlProp28.xml><?xml version="1.0" encoding="utf-8"?>
<formControlPr xmlns="http://schemas.microsoft.com/office/spreadsheetml/2009/9/main" objectType="Scroll" dx="15" fmlaLink="'18allocations'!$E$27" horiz="1" max="140" page="5" val="70"/>
</file>

<file path=xl/ctrlProps/ctrlProp29.xml><?xml version="1.0" encoding="utf-8"?>
<formControlPr xmlns="http://schemas.microsoft.com/office/spreadsheetml/2009/9/main" objectType="CheckBox" fmlaLink="$E$28" lockText="1"/>
</file>

<file path=xl/ctrlProps/ctrlProp3.xml><?xml version="1.0" encoding="utf-8"?>
<formControlPr xmlns="http://schemas.microsoft.com/office/spreadsheetml/2009/9/main" objectType="CheckBox" checked="Checked" fmlaLink="data!$H$10" lockText="1"/>
</file>

<file path=xl/ctrlProps/ctrlProp30.xml><?xml version="1.0" encoding="utf-8"?>
<formControlPr xmlns="http://schemas.microsoft.com/office/spreadsheetml/2009/9/main" objectType="CheckBox" fmlaLink="data!$S$36" lockText="1"/>
</file>

<file path=xl/ctrlProps/ctrlProp31.xml><?xml version="1.0" encoding="utf-8"?>
<formControlPr xmlns="http://schemas.microsoft.com/office/spreadsheetml/2009/9/main" objectType="CheckBox" checked="Checked" fmlaLink="data!$E$36" lockText="1"/>
</file>

<file path=xl/ctrlProps/ctrlProp32.xml><?xml version="1.0" encoding="utf-8"?>
<formControlPr xmlns="http://schemas.microsoft.com/office/spreadsheetml/2009/9/main" objectType="CheckBox" checked="Checked" fmlaLink="data!$K$10" lockText="1"/>
</file>

<file path=xl/ctrlProps/ctrlProp33.xml><?xml version="1.0" encoding="utf-8"?>
<formControlPr xmlns="http://schemas.microsoft.com/office/spreadsheetml/2009/9/main" objectType="CheckBox" checked="Checked" fmlaLink="data!$K$36" lockText="1"/>
</file>

<file path=xl/ctrlProps/ctrlProp34.xml><?xml version="1.0" encoding="utf-8"?>
<formControlPr xmlns="http://schemas.microsoft.com/office/spreadsheetml/2009/9/main" objectType="CheckBox" checked="Checked" fmlaLink="data!$O$7" lockText="1"/>
</file>

<file path=xl/ctrlProps/ctrlProp35.xml><?xml version="1.0" encoding="utf-8"?>
<formControlPr xmlns="http://schemas.microsoft.com/office/spreadsheetml/2009/9/main" objectType="CheckBox" checked="Checked" fmlaLink="data!$W$36" lockText="1"/>
</file>

<file path=xl/ctrlProps/ctrlProp36.xml><?xml version="1.0" encoding="utf-8"?>
<formControlPr xmlns="http://schemas.microsoft.com/office/spreadsheetml/2009/9/main" objectType="CheckBox" fmlaLink="data!$Q$36" lockText="1"/>
</file>

<file path=xl/ctrlProps/ctrlProp37.xml><?xml version="1.0" encoding="utf-8"?>
<formControlPr xmlns="http://schemas.microsoft.com/office/spreadsheetml/2009/9/main" objectType="CheckBox" checked="Checked" fmlaLink="data!$C$36" lockText="1"/>
</file>

<file path=xl/ctrlProps/ctrlProp38.xml><?xml version="1.0" encoding="utf-8"?>
<formControlPr xmlns="http://schemas.microsoft.com/office/spreadsheetml/2009/9/main" objectType="CheckBox" checked="Checked" fmlaLink="data!$C$10" lockText="1"/>
</file>

<file path=xl/ctrlProps/ctrlProp39.xml><?xml version="1.0" encoding="utf-8"?>
<formControlPr xmlns="http://schemas.microsoft.com/office/spreadsheetml/2009/9/main" objectType="CheckBox" checked="Checked" fmlaLink="data!$I$36" lockText="1"/>
</file>

<file path=xl/ctrlProps/ctrlProp4.xml><?xml version="1.0" encoding="utf-8"?>
<formControlPr xmlns="http://schemas.microsoft.com/office/spreadsheetml/2009/9/main" objectType="CheckBox" checked="Checked" fmlaLink="'15-17,2GraphBarter'!$D$59" lockText="1"/>
</file>

<file path=xl/ctrlProps/ctrlProp40.xml><?xml version="1.0" encoding="utf-8"?>
<formControlPr xmlns="http://schemas.microsoft.com/office/spreadsheetml/2009/9/main" objectType="CheckBox" checked="Checked" fmlaLink="data!$U$36" lockText="1"/>
</file>

<file path=xl/ctrlProps/ctrlProp41.xml><?xml version="1.0" encoding="utf-8"?>
<formControlPr xmlns="http://schemas.microsoft.com/office/spreadsheetml/2009/9/main" objectType="CheckBox" checked="Checked" fmlaLink="data!$M$10" lockText="1"/>
</file>

<file path=xl/ctrlProps/ctrlProp42.xml><?xml version="1.0" encoding="utf-8"?>
<formControlPr xmlns="http://schemas.microsoft.com/office/spreadsheetml/2009/9/main" objectType="CheckBox" checked="Checked" fmlaLink="data!$E$10" lockText="1"/>
</file>

<file path=xl/ctrlProps/ctrlProp43.xml><?xml version="1.0" encoding="utf-8"?>
<formControlPr xmlns="http://schemas.microsoft.com/office/spreadsheetml/2009/9/main" objectType="CheckBox" fmlaLink="data!$N$10" lockText="1"/>
</file>

<file path=xl/ctrlProps/ctrlProp44.xml><?xml version="1.0" encoding="utf-8"?>
<formControlPr xmlns="http://schemas.microsoft.com/office/spreadsheetml/2009/9/main" objectType="CheckBox" checked="Checked" fmlaLink="data!$D$3" lockText="1"/>
</file>

<file path=xl/ctrlProps/ctrlProp45.xml><?xml version="1.0" encoding="utf-8"?>
<formControlPr xmlns="http://schemas.microsoft.com/office/spreadsheetml/2009/9/main" objectType="CheckBox" checked="Checked" fmlaLink="data!$D$4" lockText="1"/>
</file>

<file path=xl/ctrlProps/ctrlProp46.xml><?xml version="1.0" encoding="utf-8"?>
<formControlPr xmlns="http://schemas.microsoft.com/office/spreadsheetml/2009/9/main" objectType="CheckBox" checked="Checked" fmlaLink="data!$D$5" lockText="1"/>
</file>

<file path=xl/ctrlProps/ctrlProp47.xml><?xml version="1.0" encoding="utf-8"?>
<formControlPr xmlns="http://schemas.microsoft.com/office/spreadsheetml/2009/9/main" objectType="Scroll" dx="15" fmlaLink="data!$E$7" horiz="1" max="1490" min="10" page="50" val="500"/>
</file>

<file path=xl/ctrlProps/ctrlProp48.xml><?xml version="1.0" encoding="utf-8"?>
<formControlPr xmlns="http://schemas.microsoft.com/office/spreadsheetml/2009/9/main" objectType="Scroll" dx="15" fmlaLink="data!$E$8" horiz="1" max="200" page="10" val="74"/>
</file>

<file path=xl/ctrlProps/ctrlProp49.xml><?xml version="1.0" encoding="utf-8"?>
<formControlPr xmlns="http://schemas.microsoft.com/office/spreadsheetml/2009/9/main" objectType="CheckBox" checked="Checked" fmlaLink="data!$S$7" lockText="1"/>
</file>

<file path=xl/ctrlProps/ctrlProp5.xml><?xml version="1.0" encoding="utf-8"?>
<formControlPr xmlns="http://schemas.microsoft.com/office/spreadsheetml/2009/9/main" objectType="CheckBox" checked="Checked" fmlaLink="'15-17,2GraphBarter'!$B$59" lockText="1"/>
</file>

<file path=xl/ctrlProps/ctrlProp50.xml><?xml version="1.0" encoding="utf-8"?>
<formControlPr xmlns="http://schemas.microsoft.com/office/spreadsheetml/2009/9/main" objectType="CheckBox" checked="Checked" fmlaLink="data!$T$7" lockText="1"/>
</file>

<file path=xl/ctrlProps/ctrlProp51.xml><?xml version="1.0" encoding="utf-8"?>
<formControlPr xmlns="http://schemas.microsoft.com/office/spreadsheetml/2009/9/main" objectType="CheckBox" checked="Checked" fmlaLink="data!$P$7" lockText="1"/>
</file>

<file path=xl/ctrlProps/ctrlProp52.xml><?xml version="1.0" encoding="utf-8"?>
<formControlPr xmlns="http://schemas.microsoft.com/office/spreadsheetml/2009/9/main" objectType="CheckBox" checked="Checked" fmlaLink="data!$Q$7" lockText="1"/>
</file>

<file path=xl/ctrlProps/ctrlProp53.xml><?xml version="1.0" encoding="utf-8"?>
<formControlPr xmlns="http://schemas.microsoft.com/office/spreadsheetml/2009/9/main" objectType="CheckBox" checked="Checked" fmlaLink="data!R7" lockText="1"/>
</file>

<file path=xl/ctrlProps/ctrlProp54.xml><?xml version="1.0" encoding="utf-8"?>
<formControlPr xmlns="http://schemas.microsoft.com/office/spreadsheetml/2009/9/main" objectType="CheckBox" fmlaLink="data!$U$7" lockText="1"/>
</file>

<file path=xl/ctrlProps/ctrlProp6.xml><?xml version="1.0" encoding="utf-8"?>
<formControlPr xmlns="http://schemas.microsoft.com/office/spreadsheetml/2009/9/main" objectType="CheckBox" checked="Checked" fmlaLink="data!$I$10" lockText="1"/>
</file>

<file path=xl/ctrlProps/ctrlProp7.xml><?xml version="1.0" encoding="utf-8"?>
<formControlPr xmlns="http://schemas.microsoft.com/office/spreadsheetml/2009/9/main" objectType="CheckBox" checked="Checked" fmlaLink="data!$F$10" lockText="1"/>
</file>

<file path=xl/ctrlProps/ctrlProp8.xml><?xml version="1.0" encoding="utf-8"?>
<formControlPr xmlns="http://schemas.microsoft.com/office/spreadsheetml/2009/9/main" objectType="CheckBox" checked="Checked" fmlaLink="data!$W$36" lockText="1"/>
</file>

<file path=xl/ctrlProps/ctrlProp9.xml><?xml version="1.0" encoding="utf-8"?>
<formControlPr xmlns="http://schemas.microsoft.com/office/spreadsheetml/2009/9/main" objectType="CheckBox" fmlaLink="'15-17,2GraphBarter'!$F$48" lockText="1"/>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7</xdr:col>
      <xdr:colOff>323850</xdr:colOff>
      <xdr:row>19</xdr:row>
      <xdr:rowOff>190500</xdr:rowOff>
    </xdr:to>
    <xdr:graphicFrame macro="">
      <xdr:nvGraphicFramePr>
        <xdr:cNvPr id="72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323850</xdr:colOff>
      <xdr:row>1</xdr:row>
      <xdr:rowOff>0</xdr:rowOff>
    </xdr:from>
    <xdr:to>
      <xdr:col>15</xdr:col>
      <xdr:colOff>0</xdr:colOff>
      <xdr:row>19</xdr:row>
      <xdr:rowOff>190500</xdr:rowOff>
    </xdr:to>
    <xdr:graphicFrame macro="">
      <xdr:nvGraphicFramePr>
        <xdr:cNvPr id="72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20</xdr:row>
          <xdr:rowOff>182880</xdr:rowOff>
        </xdr:from>
        <xdr:to>
          <xdr:col>1</xdr:col>
          <xdr:colOff>99060</xdr:colOff>
          <xdr:row>22</xdr:row>
          <xdr:rowOff>38100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449580</xdr:colOff>
          <xdr:row>24</xdr:row>
          <xdr:rowOff>213360</xdr:rowOff>
        </xdr:from>
        <xdr:to>
          <xdr:col>13</xdr:col>
          <xdr:colOff>152400</xdr:colOff>
          <xdr:row>26</xdr:row>
          <xdr:rowOff>22860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160020</xdr:rowOff>
        </xdr:from>
        <xdr:to>
          <xdr:col>9</xdr:col>
          <xdr:colOff>106680</xdr:colOff>
          <xdr:row>23</xdr:row>
          <xdr:rowOff>7620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190500</xdr:rowOff>
        </xdr:from>
        <xdr:to>
          <xdr:col>9</xdr:col>
          <xdr:colOff>106680</xdr:colOff>
          <xdr:row>24</xdr:row>
          <xdr:rowOff>7620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198120</xdr:rowOff>
        </xdr:from>
        <xdr:to>
          <xdr:col>9</xdr:col>
          <xdr:colOff>106680</xdr:colOff>
          <xdr:row>25</xdr:row>
          <xdr:rowOff>0</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213360</xdr:rowOff>
        </xdr:from>
        <xdr:to>
          <xdr:col>9</xdr:col>
          <xdr:colOff>121920</xdr:colOff>
          <xdr:row>26</xdr:row>
          <xdr:rowOff>22860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175260</xdr:rowOff>
        </xdr:from>
        <xdr:to>
          <xdr:col>1</xdr:col>
          <xdr:colOff>571500</xdr:colOff>
          <xdr:row>23</xdr:row>
          <xdr:rowOff>7620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7620</xdr:rowOff>
        </xdr:from>
        <xdr:to>
          <xdr:col>1</xdr:col>
          <xdr:colOff>571500</xdr:colOff>
          <xdr:row>24</xdr:row>
          <xdr:rowOff>7620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449580</xdr:colOff>
          <xdr:row>25</xdr:row>
          <xdr:rowOff>0</xdr:rowOff>
        </xdr:from>
        <xdr:to>
          <xdr:col>6</xdr:col>
          <xdr:colOff>0</xdr:colOff>
          <xdr:row>26</xdr:row>
          <xdr:rowOff>7620</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0</xdr:rowOff>
        </xdr:from>
        <xdr:to>
          <xdr:col>1</xdr:col>
          <xdr:colOff>563880</xdr:colOff>
          <xdr:row>25</xdr:row>
          <xdr:rowOff>0</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198120</xdr:rowOff>
        </xdr:from>
        <xdr:to>
          <xdr:col>1</xdr:col>
          <xdr:colOff>99060</xdr:colOff>
          <xdr:row>26</xdr:row>
          <xdr:rowOff>22860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0</xdr:rowOff>
        </xdr:from>
        <xdr:to>
          <xdr:col>1</xdr:col>
          <xdr:colOff>563880</xdr:colOff>
          <xdr:row>30</xdr:row>
          <xdr:rowOff>7620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190500</xdr:rowOff>
        </xdr:from>
        <xdr:to>
          <xdr:col>9</xdr:col>
          <xdr:colOff>106680</xdr:colOff>
          <xdr:row>30</xdr:row>
          <xdr:rowOff>7620</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19</xdr:row>
          <xdr:rowOff>213360</xdr:rowOff>
        </xdr:from>
        <xdr:to>
          <xdr:col>4</xdr:col>
          <xdr:colOff>297180</xdr:colOff>
          <xdr:row>21</xdr:row>
          <xdr:rowOff>22860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152400</xdr:rowOff>
        </xdr:from>
        <xdr:to>
          <xdr:col>9</xdr:col>
          <xdr:colOff>106680</xdr:colOff>
          <xdr:row>22</xdr:row>
          <xdr:rowOff>22860</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19</xdr:row>
          <xdr:rowOff>213360</xdr:rowOff>
        </xdr:from>
        <xdr:to>
          <xdr:col>12</xdr:col>
          <xdr:colOff>297180</xdr:colOff>
          <xdr:row>21</xdr:row>
          <xdr:rowOff>22860</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22</xdr:row>
          <xdr:rowOff>182880</xdr:rowOff>
        </xdr:from>
        <xdr:to>
          <xdr:col>12</xdr:col>
          <xdr:colOff>297180</xdr:colOff>
          <xdr:row>24</xdr:row>
          <xdr:rowOff>22860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28</xdr:row>
          <xdr:rowOff>0</xdr:rowOff>
        </xdr:from>
        <xdr:to>
          <xdr:col>4</xdr:col>
          <xdr:colOff>411480</xdr:colOff>
          <xdr:row>28</xdr:row>
          <xdr:rowOff>182880</xdr:rowOff>
        </xdr:to>
        <xdr:sp macro="" textlink="">
          <xdr:nvSpPr>
            <xdr:cNvPr id="7190" name="Scroll Bar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28</xdr:row>
          <xdr:rowOff>7620</xdr:rowOff>
        </xdr:from>
        <xdr:to>
          <xdr:col>12</xdr:col>
          <xdr:colOff>365760</xdr:colOff>
          <xdr:row>28</xdr:row>
          <xdr:rowOff>190500</xdr:rowOff>
        </xdr:to>
        <xdr:sp macro="" textlink="">
          <xdr:nvSpPr>
            <xdr:cNvPr id="7198" name="Scroll Bar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22</xdr:row>
          <xdr:rowOff>175260</xdr:rowOff>
        </xdr:from>
        <xdr:to>
          <xdr:col>4</xdr:col>
          <xdr:colOff>289560</xdr:colOff>
          <xdr:row>24</xdr:row>
          <xdr:rowOff>22860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190500</xdr:rowOff>
        </xdr:from>
        <xdr:to>
          <xdr:col>1</xdr:col>
          <xdr:colOff>99060</xdr:colOff>
          <xdr:row>27</xdr:row>
          <xdr:rowOff>7620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26</xdr:row>
          <xdr:rowOff>7620</xdr:rowOff>
        </xdr:from>
        <xdr:to>
          <xdr:col>11</xdr:col>
          <xdr:colOff>426720</xdr:colOff>
          <xdr:row>27</xdr:row>
          <xdr:rowOff>30480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28575</xdr:colOff>
      <xdr:row>3</xdr:row>
      <xdr:rowOff>0</xdr:rowOff>
    </xdr:from>
    <xdr:to>
      <xdr:col>15</xdr:col>
      <xdr:colOff>0</xdr:colOff>
      <xdr:row>16</xdr:row>
      <xdr:rowOff>190500</xdr:rowOff>
    </xdr:to>
    <xdr:graphicFrame macro="">
      <xdr:nvGraphicFramePr>
        <xdr:cNvPr id="519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0</xdr:colOff>
          <xdr:row>0</xdr:row>
          <xdr:rowOff>190500</xdr:rowOff>
        </xdr:from>
        <xdr:to>
          <xdr:col>3</xdr:col>
          <xdr:colOff>68580</xdr:colOff>
          <xdr:row>2</xdr:row>
          <xdr:rowOff>7620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0</xdr:row>
          <xdr:rowOff>190500</xdr:rowOff>
        </xdr:from>
        <xdr:to>
          <xdr:col>1</xdr:col>
          <xdr:colOff>76200</xdr:colOff>
          <xdr:row>2</xdr:row>
          <xdr:rowOff>7620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30480</xdr:rowOff>
        </xdr:from>
        <xdr:to>
          <xdr:col>3</xdr:col>
          <xdr:colOff>76200</xdr:colOff>
          <xdr:row>2</xdr:row>
          <xdr:rowOff>266700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xdr:row>
          <xdr:rowOff>30480</xdr:rowOff>
        </xdr:from>
        <xdr:to>
          <xdr:col>1</xdr:col>
          <xdr:colOff>83820</xdr:colOff>
          <xdr:row>2</xdr:row>
          <xdr:rowOff>259080</xdr:rowOff>
        </xdr:to>
        <xdr:sp macro="" textlink="">
          <xdr:nvSpPr>
            <xdr:cNvPr id="5168" name="Check Box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13</xdr:row>
          <xdr:rowOff>30480</xdr:rowOff>
        </xdr:from>
        <xdr:to>
          <xdr:col>4</xdr:col>
          <xdr:colOff>441960</xdr:colOff>
          <xdr:row>15</xdr:row>
          <xdr:rowOff>0</xdr:rowOff>
        </xdr:to>
        <xdr:sp macro="" textlink="">
          <xdr:nvSpPr>
            <xdr:cNvPr id="5173" name="Scroll Bar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16</xdr:row>
          <xdr:rowOff>30480</xdr:rowOff>
        </xdr:from>
        <xdr:to>
          <xdr:col>4</xdr:col>
          <xdr:colOff>441960</xdr:colOff>
          <xdr:row>17</xdr:row>
          <xdr:rowOff>198120</xdr:rowOff>
        </xdr:to>
        <xdr:sp macro="" textlink="">
          <xdr:nvSpPr>
            <xdr:cNvPr id="5182" name="Scroll Bar 62" hidden="1">
              <a:extLst>
                <a:ext uri="{63B3BB69-23CF-44E3-9099-C40C66FF867C}">
                  <a14:compatExt spid="_x0000_s5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266700</xdr:rowOff>
        </xdr:from>
        <xdr:to>
          <xdr:col>1</xdr:col>
          <xdr:colOff>45720</xdr:colOff>
          <xdr:row>19</xdr:row>
          <xdr:rowOff>22860</xdr:rowOff>
        </xdr:to>
        <xdr:sp macro="" textlink="">
          <xdr:nvSpPr>
            <xdr:cNvPr id="5185" name="Check Box 65" hidden="1">
              <a:extLst>
                <a:ext uri="{63B3BB69-23CF-44E3-9099-C40C66FF867C}">
                  <a14:compatExt spid="_x0000_s518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28575</xdr:colOff>
      <xdr:row>3</xdr:row>
      <xdr:rowOff>57150</xdr:rowOff>
    </xdr:from>
    <xdr:to>
      <xdr:col>17</xdr:col>
      <xdr:colOff>0</xdr:colOff>
      <xdr:row>24</xdr:row>
      <xdr:rowOff>190500</xdr:rowOff>
    </xdr:to>
    <xdr:graphicFrame macro="">
      <xdr:nvGraphicFramePr>
        <xdr:cNvPr id="41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266700</xdr:colOff>
      <xdr:row>6</xdr:row>
      <xdr:rowOff>133350</xdr:rowOff>
    </xdr:from>
    <xdr:to>
      <xdr:col>3</xdr:col>
      <xdr:colOff>342900</xdr:colOff>
      <xdr:row>7</xdr:row>
      <xdr:rowOff>104775</xdr:rowOff>
    </xdr:to>
    <xdr:sp macro="" textlink="">
      <xdr:nvSpPr>
        <xdr:cNvPr id="4180" name="Text Box 74"/>
        <xdr:cNvSpPr txBox="1">
          <a:spLocks noChangeArrowheads="1"/>
        </xdr:cNvSpPr>
      </xdr:nvSpPr>
      <xdr:spPr bwMode="auto">
        <a:xfrm>
          <a:off x="2143125" y="1304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22860</xdr:colOff>
          <xdr:row>3</xdr:row>
          <xdr:rowOff>0</xdr:rowOff>
        </xdr:from>
        <xdr:to>
          <xdr:col>3</xdr:col>
          <xdr:colOff>83820</xdr:colOff>
          <xdr:row>4</xdr:row>
          <xdr:rowOff>22860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0</xdr:rowOff>
        </xdr:from>
        <xdr:to>
          <xdr:col>3</xdr:col>
          <xdr:colOff>83820</xdr:colOff>
          <xdr:row>5</xdr:row>
          <xdr:rowOff>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xdr:row>
          <xdr:rowOff>0</xdr:rowOff>
        </xdr:from>
        <xdr:to>
          <xdr:col>3</xdr:col>
          <xdr:colOff>83820</xdr:colOff>
          <xdr:row>6</xdr:row>
          <xdr:rowOff>220980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7620</xdr:rowOff>
        </xdr:from>
        <xdr:to>
          <xdr:col>3</xdr:col>
          <xdr:colOff>83820</xdr:colOff>
          <xdr:row>6</xdr:row>
          <xdr:rowOff>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8</xdr:row>
          <xdr:rowOff>0</xdr:rowOff>
        </xdr:from>
        <xdr:to>
          <xdr:col>1</xdr:col>
          <xdr:colOff>259080</xdr:colOff>
          <xdr:row>9</xdr:row>
          <xdr:rowOff>22860</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1</xdr:col>
          <xdr:colOff>83820</xdr:colOff>
          <xdr:row>19</xdr:row>
          <xdr:rowOff>30480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0</xdr:rowOff>
        </xdr:from>
        <xdr:to>
          <xdr:col>1</xdr:col>
          <xdr:colOff>83820</xdr:colOff>
          <xdr:row>4</xdr:row>
          <xdr:rowOff>22860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190500</xdr:rowOff>
        </xdr:from>
        <xdr:to>
          <xdr:col>1</xdr:col>
          <xdr:colOff>83820</xdr:colOff>
          <xdr:row>5</xdr:row>
          <xdr:rowOff>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22860</xdr:rowOff>
        </xdr:from>
        <xdr:to>
          <xdr:col>1</xdr:col>
          <xdr:colOff>83820</xdr:colOff>
          <xdr:row>7</xdr:row>
          <xdr:rowOff>7620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7620</xdr:rowOff>
        </xdr:from>
        <xdr:to>
          <xdr:col>1</xdr:col>
          <xdr:colOff>83820</xdr:colOff>
          <xdr:row>6</xdr:row>
          <xdr:rowOff>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1</xdr:col>
          <xdr:colOff>83820</xdr:colOff>
          <xdr:row>18</xdr:row>
          <xdr:rowOff>22860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1211580</xdr:colOff>
          <xdr:row>22</xdr:row>
          <xdr:rowOff>0</xdr:rowOff>
        </xdr:from>
        <xdr:to>
          <xdr:col>2</xdr:col>
          <xdr:colOff>137160</xdr:colOff>
          <xdr:row>23</xdr:row>
          <xdr:rowOff>7620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22</xdr:row>
          <xdr:rowOff>0</xdr:rowOff>
        </xdr:from>
        <xdr:to>
          <xdr:col>1</xdr:col>
          <xdr:colOff>106680</xdr:colOff>
          <xdr:row>23</xdr:row>
          <xdr:rowOff>7620</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26</xdr:row>
          <xdr:rowOff>160020</xdr:rowOff>
        </xdr:from>
        <xdr:to>
          <xdr:col>1</xdr:col>
          <xdr:colOff>60960</xdr:colOff>
          <xdr:row>28</xdr:row>
          <xdr:rowOff>7620</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4</xdr:row>
          <xdr:rowOff>0</xdr:rowOff>
        </xdr:from>
        <xdr:to>
          <xdr:col>4</xdr:col>
          <xdr:colOff>106680</xdr:colOff>
          <xdr:row>5</xdr:row>
          <xdr:rowOff>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5</xdr:row>
          <xdr:rowOff>22860</xdr:rowOff>
        </xdr:from>
        <xdr:to>
          <xdr:col>4</xdr:col>
          <xdr:colOff>106680</xdr:colOff>
          <xdr:row>6</xdr:row>
          <xdr:rowOff>7620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6</xdr:row>
          <xdr:rowOff>0</xdr:rowOff>
        </xdr:from>
        <xdr:to>
          <xdr:col>4</xdr:col>
          <xdr:colOff>106680</xdr:colOff>
          <xdr:row>6</xdr:row>
          <xdr:rowOff>220980</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0</xdr:rowOff>
        </xdr:from>
        <xdr:to>
          <xdr:col>4</xdr:col>
          <xdr:colOff>441960</xdr:colOff>
          <xdr:row>11</xdr:row>
          <xdr:rowOff>175260</xdr:rowOff>
        </xdr:to>
        <xdr:sp macro="" textlink="">
          <xdr:nvSpPr>
            <xdr:cNvPr id="4152" name="Scroll Bar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1112520</xdr:colOff>
          <xdr:row>20</xdr:row>
          <xdr:rowOff>0</xdr:rowOff>
        </xdr:from>
        <xdr:to>
          <xdr:col>4</xdr:col>
          <xdr:colOff>144780</xdr:colOff>
          <xdr:row>21</xdr:row>
          <xdr:rowOff>0</xdr:rowOff>
        </xdr:to>
        <xdr:sp macro="" textlink="">
          <xdr:nvSpPr>
            <xdr:cNvPr id="4153" name="Scroll Bar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23</xdr:row>
          <xdr:rowOff>0</xdr:rowOff>
        </xdr:from>
        <xdr:to>
          <xdr:col>4</xdr:col>
          <xdr:colOff>106680</xdr:colOff>
          <xdr:row>24</xdr:row>
          <xdr:rowOff>0</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24</xdr:row>
          <xdr:rowOff>0</xdr:rowOff>
        </xdr:from>
        <xdr:to>
          <xdr:col>4</xdr:col>
          <xdr:colOff>106680</xdr:colOff>
          <xdr:row>25</xdr:row>
          <xdr:rowOff>0</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13</xdr:row>
          <xdr:rowOff>22860</xdr:rowOff>
        </xdr:from>
        <xdr:to>
          <xdr:col>1</xdr:col>
          <xdr:colOff>259080</xdr:colOff>
          <xdr:row>14</xdr:row>
          <xdr:rowOff>22860</xdr:rowOff>
        </xdr:to>
        <xdr:sp macro="" textlink="">
          <xdr:nvSpPr>
            <xdr:cNvPr id="4160" name="Check Box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15</xdr:row>
          <xdr:rowOff>30480</xdr:rowOff>
        </xdr:from>
        <xdr:to>
          <xdr:col>1</xdr:col>
          <xdr:colOff>259080</xdr:colOff>
          <xdr:row>16</xdr:row>
          <xdr:rowOff>22860</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1181100</xdr:colOff>
          <xdr:row>16</xdr:row>
          <xdr:rowOff>0</xdr:rowOff>
        </xdr:from>
        <xdr:to>
          <xdr:col>2</xdr:col>
          <xdr:colOff>106680</xdr:colOff>
          <xdr:row>17</xdr:row>
          <xdr:rowOff>0</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175260</xdr:rowOff>
        </xdr:from>
        <xdr:to>
          <xdr:col>1</xdr:col>
          <xdr:colOff>274320</xdr:colOff>
          <xdr:row>27</xdr:row>
          <xdr:rowOff>22860</xdr:rowOff>
        </xdr:to>
        <xdr:sp macro="" textlink="">
          <xdr:nvSpPr>
            <xdr:cNvPr id="4163" name="Check Box 67" hidden="1">
              <a:extLst>
                <a:ext uri="{63B3BB69-23CF-44E3-9099-C40C66FF867C}">
                  <a14:compatExt spid="_x0000_s416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104775</xdr:colOff>
      <xdr:row>7</xdr:row>
      <xdr:rowOff>85725</xdr:rowOff>
    </xdr:from>
    <xdr:to>
      <xdr:col>22</xdr:col>
      <xdr:colOff>561975</xdr:colOff>
      <xdr:row>31</xdr:row>
      <xdr:rowOff>66675</xdr:rowOff>
    </xdr:to>
    <xdr:graphicFrame macro="">
      <xdr:nvGraphicFramePr>
        <xdr:cNvPr id="11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3.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0"/>
  <sheetViews>
    <sheetView showGridLines="0" tabSelected="1" workbookViewId="0">
      <selection activeCell="F42" sqref="F42"/>
    </sheetView>
  </sheetViews>
  <sheetFormatPr defaultColWidth="9.109375" defaultRowHeight="13.2" x14ac:dyDescent="0.25"/>
  <cols>
    <col min="1" max="1" width="3.6640625" style="2" customWidth="1"/>
    <col min="2" max="6" width="9.109375" style="2"/>
    <col min="7" max="7" width="9.33203125" style="2" customWidth="1"/>
    <col min="8" max="8" width="9" style="2" customWidth="1"/>
    <col min="9" max="9" width="3.5546875" style="2" customWidth="1"/>
    <col min="10" max="16384" width="9.109375" style="2"/>
  </cols>
  <sheetData>
    <row r="1" spans="1:13" s="18" customFormat="1" ht="15.75" customHeight="1" x14ac:dyDescent="0.3">
      <c r="A1" s="182" t="s">
        <v>131</v>
      </c>
      <c r="B1" s="182"/>
      <c r="C1" s="137"/>
      <c r="D1" s="20" t="str">
        <f>data!V7</f>
        <v xml:space="preserve"> </v>
      </c>
      <c r="E1" s="20" t="s">
        <v>116</v>
      </c>
      <c r="L1" s="20" t="str">
        <f>data!V7</f>
        <v xml:space="preserve"> </v>
      </c>
      <c r="M1" s="20" t="s">
        <v>117</v>
      </c>
    </row>
    <row r="2" spans="1:13" s="18" customFormat="1" ht="15.6" x14ac:dyDescent="0.3">
      <c r="B2" s="20" t="s">
        <v>113</v>
      </c>
      <c r="I2" s="20"/>
      <c r="J2" s="21" t="s">
        <v>114</v>
      </c>
    </row>
    <row r="19" spans="1:16" ht="17.25" customHeight="1" x14ac:dyDescent="0.25"/>
    <row r="20" spans="1:16" s="25" customFormat="1" ht="18.75" customHeight="1" thickBot="1" x14ac:dyDescent="0.3">
      <c r="A20" s="22"/>
      <c r="B20" s="22"/>
      <c r="C20" s="22"/>
      <c r="D20" s="22"/>
      <c r="E20" s="22"/>
      <c r="F20" s="22"/>
      <c r="G20" s="23" t="s">
        <v>112</v>
      </c>
      <c r="H20" s="22"/>
      <c r="I20" s="22"/>
      <c r="J20" s="22"/>
      <c r="K20" s="22"/>
      <c r="L20" s="22"/>
      <c r="M20" s="22"/>
      <c r="N20" s="22"/>
      <c r="O20" s="24" t="s">
        <v>115</v>
      </c>
    </row>
    <row r="21" spans="1:16" ht="13.5" customHeight="1" x14ac:dyDescent="0.3">
      <c r="A21" s="18" t="s">
        <v>28</v>
      </c>
      <c r="B21" s="18"/>
      <c r="C21" s="18"/>
      <c r="D21" s="18"/>
      <c r="E21" s="26" t="s">
        <v>110</v>
      </c>
      <c r="F21" s="27"/>
      <c r="G21" s="28" t="s">
        <v>36</v>
      </c>
      <c r="H21" s="18"/>
      <c r="I21" s="18" t="s">
        <v>31</v>
      </c>
      <c r="J21" s="18"/>
      <c r="K21" s="18"/>
      <c r="L21" s="18"/>
      <c r="M21" s="26" t="s">
        <v>110</v>
      </c>
      <c r="N21" s="27"/>
      <c r="O21" s="28" t="s">
        <v>36</v>
      </c>
    </row>
    <row r="22" spans="1:16" ht="14.25" customHeight="1" x14ac:dyDescent="0.3">
      <c r="A22" s="18"/>
      <c r="B22" s="18" t="s">
        <v>74</v>
      </c>
      <c r="C22" s="18"/>
      <c r="D22" s="21"/>
      <c r="E22" s="29" t="s">
        <v>10</v>
      </c>
      <c r="F22" s="30" t="s">
        <v>35</v>
      </c>
      <c r="G22" s="31" t="s">
        <v>128</v>
      </c>
      <c r="H22" s="18"/>
      <c r="I22" s="18"/>
      <c r="J22" s="18" t="s">
        <v>74</v>
      </c>
      <c r="K22" s="18"/>
      <c r="L22" s="18"/>
      <c r="M22" s="29" t="s">
        <v>10</v>
      </c>
      <c r="N22" s="30" t="s">
        <v>35</v>
      </c>
      <c r="O22" s="31" t="s">
        <v>128</v>
      </c>
    </row>
    <row r="23" spans="1:16" ht="15" customHeight="1" x14ac:dyDescent="0.3">
      <c r="A23" s="18"/>
      <c r="B23" s="18" t="s">
        <v>29</v>
      </c>
      <c r="C23" s="18"/>
      <c r="D23" s="32"/>
      <c r="E23" s="33">
        <f>IF(data!$D$3=TRUE,data!$E$3," ")</f>
        <v>40</v>
      </c>
      <c r="F23" s="34">
        <f>IF(data!$D$3=TRUE,data!$F$3," ")</f>
        <v>105</v>
      </c>
      <c r="G23" s="35">
        <f>IF(data!$D$3=TRUE,IF(data!F10=TRUE,data!$I$3," ")," ")</f>
        <v>2.625</v>
      </c>
      <c r="H23" s="18"/>
      <c r="I23" s="18"/>
      <c r="J23" s="18" t="s">
        <v>29</v>
      </c>
      <c r="K23" s="18"/>
      <c r="L23" s="18"/>
      <c r="M23" s="33">
        <f>IF(data!$D$4=TRUE,data!$E$4," ")</f>
        <v>110</v>
      </c>
      <c r="N23" s="34">
        <f>IF(data!$D$4=TRUE,data!$F$4," ")</f>
        <v>35</v>
      </c>
      <c r="O23" s="35">
        <f>IF(data!$D$4=TRUE,IF(data!H10=TRUE,data!$I$4," ")," ")</f>
        <v>0.31818181818181818</v>
      </c>
    </row>
    <row r="24" spans="1:16" ht="15.6" x14ac:dyDescent="0.3">
      <c r="A24" s="18"/>
      <c r="B24" s="18" t="s">
        <v>89</v>
      </c>
      <c r="E24" s="36" t="s">
        <v>92</v>
      </c>
      <c r="F24" s="37"/>
      <c r="G24" s="38"/>
      <c r="H24" s="18"/>
      <c r="I24" s="18"/>
      <c r="J24" s="18" t="s">
        <v>89</v>
      </c>
      <c r="K24" s="18"/>
      <c r="L24" s="18"/>
      <c r="M24" s="36" t="s">
        <v>93</v>
      </c>
      <c r="N24" s="37"/>
      <c r="O24" s="38"/>
    </row>
    <row r="25" spans="1:16" ht="17.25" customHeight="1" thickBot="1" x14ac:dyDescent="0.35">
      <c r="A25" s="18"/>
      <c r="B25" s="18" t="s">
        <v>87</v>
      </c>
      <c r="C25" s="18"/>
      <c r="D25" s="18"/>
      <c r="E25" s="39">
        <f>IF(data!S7=TRUE,data!O3," ")</f>
        <v>50</v>
      </c>
      <c r="F25" s="40">
        <f>IF(data!S7=TRUE,data!R3," ")</f>
        <v>95.025000000000006</v>
      </c>
      <c r="G25" s="41">
        <f>IF(data!S7=TRUE,data!T3," ")</f>
        <v>1.9005000000000001</v>
      </c>
      <c r="H25" s="18"/>
      <c r="I25" s="18"/>
      <c r="J25" s="18" t="s">
        <v>87</v>
      </c>
      <c r="K25" s="18"/>
      <c r="L25" s="18"/>
      <c r="M25" s="39">
        <f>IF(data!T7=TRUE,data!$O$4," ")</f>
        <v>100</v>
      </c>
      <c r="N25" s="40">
        <f>IF(data!T7=TRUE,data!$R$4," ")</f>
        <v>44.974999999999994</v>
      </c>
      <c r="O25" s="41">
        <f>IF(data!T7=TRUE,data!T4," ")</f>
        <v>0.44974999999999993</v>
      </c>
    </row>
    <row r="26" spans="1:16" ht="15.6" x14ac:dyDescent="0.3">
      <c r="A26" s="18"/>
      <c r="B26" s="18" t="s">
        <v>88</v>
      </c>
      <c r="C26" s="18"/>
      <c r="E26" s="18"/>
      <c r="F26" s="18" t="s">
        <v>75</v>
      </c>
      <c r="G26" s="18"/>
      <c r="H26" s="18"/>
      <c r="I26" s="18"/>
      <c r="J26" s="18" t="s">
        <v>88</v>
      </c>
      <c r="K26" s="18"/>
      <c r="M26" s="18"/>
      <c r="N26" s="18" t="s">
        <v>75</v>
      </c>
      <c r="O26" s="18"/>
    </row>
    <row r="27" spans="1:16" ht="15.6" x14ac:dyDescent="0.3">
      <c r="B27" s="42" t="s">
        <v>98</v>
      </c>
      <c r="G27" s="43" t="s">
        <v>103</v>
      </c>
      <c r="H27" s="18"/>
      <c r="I27" s="18"/>
      <c r="J27" s="18"/>
      <c r="K27" s="18"/>
      <c r="L27" s="18"/>
      <c r="M27" s="18"/>
    </row>
    <row r="28" spans="1:16" ht="15.6" x14ac:dyDescent="0.3">
      <c r="C28" s="20" t="s">
        <v>46</v>
      </c>
      <c r="E28" s="18"/>
      <c r="F28" s="21" t="s">
        <v>45</v>
      </c>
      <c r="H28" s="18"/>
      <c r="I28" s="44" t="s">
        <v>95</v>
      </c>
      <c r="K28" s="18"/>
      <c r="L28" s="18"/>
      <c r="M28" s="44" t="s">
        <v>96</v>
      </c>
      <c r="P28" s="18"/>
    </row>
    <row r="29" spans="1:16" ht="15.75" customHeight="1" x14ac:dyDescent="0.3">
      <c r="B29" s="45" t="str">
        <f>IF(data!$O$4&gt;data!$E$4,data!$O$4-data!$E$4," ")</f>
        <v xml:space="preserve"> </v>
      </c>
      <c r="D29" s="18"/>
      <c r="E29" s="18"/>
      <c r="F29" s="46">
        <f>IF(data!$O$3&gt;data!$E$3,data!$O$3-data!$E$3," ")</f>
        <v>10</v>
      </c>
      <c r="I29" s="18"/>
      <c r="K29" s="18"/>
      <c r="L29" s="18"/>
      <c r="M29" s="18"/>
      <c r="N29" s="21" t="s">
        <v>97</v>
      </c>
      <c r="O29" s="47">
        <f>IF(data!E3=data!O3," ",data!$W$39-data!$W$40)</f>
        <v>9.9749999999999943</v>
      </c>
    </row>
    <row r="30" spans="1:16" ht="15.6" x14ac:dyDescent="0.3">
      <c r="B30" s="18" t="s">
        <v>121</v>
      </c>
      <c r="C30" s="18"/>
      <c r="D30" s="18"/>
      <c r="E30" s="18"/>
      <c r="F30" s="18"/>
      <c r="G30" s="18"/>
      <c r="H30" s="18"/>
      <c r="I30" s="18"/>
      <c r="J30" s="18" t="s">
        <v>122</v>
      </c>
    </row>
    <row r="31" spans="1:16" ht="12" customHeight="1" x14ac:dyDescent="0.3">
      <c r="A31" s="18" t="s">
        <v>124</v>
      </c>
      <c r="D31" s="18"/>
      <c r="I31" s="181" t="s">
        <v>123</v>
      </c>
      <c r="J31" s="181"/>
      <c r="K31" s="181"/>
      <c r="L31" s="181"/>
      <c r="M31" s="181"/>
      <c r="N31" s="181"/>
      <c r="O31" s="181"/>
    </row>
    <row r="32" spans="1:16" ht="15.6" x14ac:dyDescent="0.3">
      <c r="C32" s="18"/>
    </row>
    <row r="35" spans="1:12" s="147" customFormat="1" x14ac:dyDescent="0.25"/>
    <row r="36" spans="1:12" s="144" customFormat="1" x14ac:dyDescent="0.25"/>
    <row r="37" spans="1:12" s="144" customFormat="1" x14ac:dyDescent="0.25"/>
    <row r="38" spans="1:12" s="144" customFormat="1" x14ac:dyDescent="0.25"/>
    <row r="39" spans="1:12" s="144" customFormat="1" x14ac:dyDescent="0.25"/>
    <row r="40" spans="1:12" s="144" customFormat="1" x14ac:dyDescent="0.25"/>
    <row r="41" spans="1:12" s="144" customFormat="1" x14ac:dyDescent="0.25"/>
    <row r="42" spans="1:12" s="144" customFormat="1" x14ac:dyDescent="0.25"/>
    <row r="43" spans="1:12" s="144" customFormat="1" x14ac:dyDescent="0.25"/>
    <row r="44" spans="1:12" s="144" customFormat="1" x14ac:dyDescent="0.25"/>
    <row r="45" spans="1:12" s="144" customFormat="1" x14ac:dyDescent="0.25"/>
    <row r="46" spans="1:12" s="144" customFormat="1" x14ac:dyDescent="0.25"/>
    <row r="47" spans="1:12" s="148" customFormat="1" ht="0.75" customHeight="1" x14ac:dyDescent="0.25"/>
    <row r="48" spans="1:12" s="148" customFormat="1" ht="0.75" customHeight="1" x14ac:dyDescent="0.25">
      <c r="A48" s="148" t="s">
        <v>83</v>
      </c>
      <c r="B48" s="149" t="b">
        <v>1</v>
      </c>
      <c r="C48" s="148" t="s">
        <v>83</v>
      </c>
      <c r="D48" s="149" t="b">
        <v>1</v>
      </c>
      <c r="E48" s="148" t="s">
        <v>83</v>
      </c>
      <c r="F48" s="149" t="b">
        <v>0</v>
      </c>
      <c r="G48" s="148" t="s">
        <v>83</v>
      </c>
      <c r="H48" s="149" t="b">
        <v>0</v>
      </c>
      <c r="I48" s="148" t="s">
        <v>83</v>
      </c>
      <c r="J48" s="150" t="b">
        <v>0</v>
      </c>
      <c r="K48" s="148" t="s">
        <v>83</v>
      </c>
      <c r="L48" s="149" t="b">
        <v>0</v>
      </c>
    </row>
    <row r="49" spans="1:12" s="148" customFormat="1" ht="0.75" customHeight="1" x14ac:dyDescent="0.25">
      <c r="A49" s="151"/>
      <c r="B49" s="151">
        <f>IF(B48=TRUE,1,0)</f>
        <v>1</v>
      </c>
      <c r="C49" s="151"/>
      <c r="D49" s="151">
        <f>IF(D48=TRUE,1,0)</f>
        <v>1</v>
      </c>
      <c r="E49" s="151"/>
      <c r="F49" s="151">
        <f>IF(F48=TRUE,1,-100)</f>
        <v>-100</v>
      </c>
      <c r="G49" s="151"/>
      <c r="H49" s="151">
        <f>IF(H48=TRUE,1,-100)</f>
        <v>-100</v>
      </c>
      <c r="I49" s="151"/>
      <c r="J49" s="151">
        <f>IF(J48=TRUE,1,-100)</f>
        <v>-100</v>
      </c>
      <c r="K49" s="151"/>
      <c r="L49" s="151">
        <f>IF(L48=TRUE,1,0)</f>
        <v>0</v>
      </c>
    </row>
    <row r="50" spans="1:12" s="148" customFormat="1" ht="0.75" customHeight="1" x14ac:dyDescent="0.25">
      <c r="A50" s="148" t="s">
        <v>10</v>
      </c>
      <c r="B50" s="148" t="s">
        <v>22</v>
      </c>
      <c r="C50" s="148" t="s">
        <v>10</v>
      </c>
      <c r="D50" s="148" t="s">
        <v>23</v>
      </c>
      <c r="E50" s="148" t="s">
        <v>10</v>
      </c>
      <c r="F50" s="148" t="s">
        <v>20</v>
      </c>
      <c r="G50" s="148" t="s">
        <v>10</v>
      </c>
      <c r="H50" s="148" t="s">
        <v>21</v>
      </c>
      <c r="I50" s="148" t="s">
        <v>10</v>
      </c>
      <c r="J50" s="148" t="s">
        <v>120</v>
      </c>
      <c r="K50" s="148" t="s">
        <v>10</v>
      </c>
      <c r="L50" s="148" t="s">
        <v>24</v>
      </c>
    </row>
    <row r="51" spans="1:12" s="148" customFormat="1" ht="0.75" customHeight="1" x14ac:dyDescent="0.25">
      <c r="A51" s="148">
        <v>0</v>
      </c>
      <c r="B51" s="148">
        <f>$B$49*data!$F$3</f>
        <v>105</v>
      </c>
      <c r="C51" s="148">
        <v>0</v>
      </c>
      <c r="D51" s="148">
        <f>$D$49*data!$F$4</f>
        <v>35</v>
      </c>
      <c r="E51" s="148">
        <v>0</v>
      </c>
      <c r="F51" s="148">
        <f>IF(F49=1,0,-100)</f>
        <v>-100</v>
      </c>
      <c r="G51" s="148">
        <v>0</v>
      </c>
      <c r="H51" s="148">
        <f>0</f>
        <v>0</v>
      </c>
      <c r="I51" s="148">
        <f>data!E3</f>
        <v>40</v>
      </c>
      <c r="J51" s="148">
        <f>data!F3*J49</f>
        <v>-10500</v>
      </c>
      <c r="K51" s="148">
        <v>0</v>
      </c>
      <c r="L51" s="148">
        <f>$L$49*data!$F$5</f>
        <v>0</v>
      </c>
    </row>
    <row r="52" spans="1:12" s="148" customFormat="1" ht="0.75" customHeight="1" x14ac:dyDescent="0.25">
      <c r="A52" s="148">
        <f>data!$E$3</f>
        <v>40</v>
      </c>
      <c r="B52" s="148">
        <f>$B$49*data!$F$3</f>
        <v>105</v>
      </c>
      <c r="C52" s="148">
        <f>data!$E$4</f>
        <v>110</v>
      </c>
      <c r="D52" s="148">
        <f>$D$49*data!$F$4</f>
        <v>35</v>
      </c>
      <c r="E52" s="148">
        <f>data!E3</f>
        <v>40</v>
      </c>
      <c r="F52" s="148">
        <f>F49*data!F3</f>
        <v>-10500</v>
      </c>
      <c r="G52" s="148">
        <f>data!E4</f>
        <v>110</v>
      </c>
      <c r="H52" s="148">
        <f>H49*data!F4</f>
        <v>-3500</v>
      </c>
      <c r="I52" s="148">
        <f>data!E5</f>
        <v>150</v>
      </c>
      <c r="J52" s="148">
        <f>data!F5*J49</f>
        <v>-14000</v>
      </c>
      <c r="K52" s="148">
        <f>data!$E$5</f>
        <v>150</v>
      </c>
      <c r="L52" s="148">
        <f>$L$49*data!$F$5</f>
        <v>0</v>
      </c>
    </row>
    <row r="53" spans="1:12" s="148" customFormat="1" ht="0.75" customHeight="1" x14ac:dyDescent="0.25">
      <c r="A53" s="148">
        <f>data!$E$3</f>
        <v>40</v>
      </c>
      <c r="B53" s="148">
        <f>$B$49*data!$F$3</f>
        <v>105</v>
      </c>
      <c r="C53" s="148">
        <f>data!$E$4</f>
        <v>110</v>
      </c>
      <c r="D53" s="148">
        <f>$D$49*data!$F$4</f>
        <v>35</v>
      </c>
      <c r="K53" s="148">
        <f>data!$E$5</f>
        <v>150</v>
      </c>
      <c r="L53" s="148">
        <f>$L$49*data!$F$5</f>
        <v>0</v>
      </c>
    </row>
    <row r="54" spans="1:12" s="148" customFormat="1" ht="0.75" customHeight="1" x14ac:dyDescent="0.25">
      <c r="A54" s="148">
        <f>data!$E$3</f>
        <v>40</v>
      </c>
      <c r="B54" s="148">
        <v>0</v>
      </c>
      <c r="C54" s="148">
        <f>data!$E$4</f>
        <v>110</v>
      </c>
      <c r="D54" s="148">
        <v>0</v>
      </c>
      <c r="K54" s="148">
        <f>data!$E$5</f>
        <v>150</v>
      </c>
      <c r="L54" s="148">
        <v>0</v>
      </c>
    </row>
    <row r="55" spans="1:12" s="148" customFormat="1" ht="0.75" customHeight="1" x14ac:dyDescent="0.25">
      <c r="A55" s="148">
        <f>data!$E$3</f>
        <v>40</v>
      </c>
      <c r="B55" s="148">
        <v>0</v>
      </c>
      <c r="C55" s="148">
        <f>data!$E$4</f>
        <v>110</v>
      </c>
      <c r="D55" s="148">
        <v>0</v>
      </c>
      <c r="E55" s="152">
        <f>'15-17,2GraphBarter'!C62+data!V39</f>
        <v>150</v>
      </c>
      <c r="F55" s="152">
        <f>'15-17,2GraphBarter'!D62+data!W39</f>
        <v>140</v>
      </c>
      <c r="K55" s="148">
        <f>data!$E$5</f>
        <v>150</v>
      </c>
      <c r="L55" s="148">
        <v>0</v>
      </c>
    </row>
    <row r="56" spans="1:12" s="148" customFormat="1" ht="0.75" customHeight="1" x14ac:dyDescent="0.25">
      <c r="E56" s="152">
        <f>'15-17,2GraphBarter'!C63+data!V40</f>
        <v>150</v>
      </c>
      <c r="F56" s="152">
        <f>'15-17,2GraphBarter'!D63+data!W40</f>
        <v>140</v>
      </c>
    </row>
    <row r="57" spans="1:12" s="148" customFormat="1" ht="0.75" customHeight="1" x14ac:dyDescent="0.25"/>
    <row r="58" spans="1:12" s="148" customFormat="1" ht="0.75" customHeight="1" x14ac:dyDescent="0.25"/>
    <row r="59" spans="1:12" s="148" customFormat="1" ht="0.75" customHeight="1" x14ac:dyDescent="0.25">
      <c r="A59" s="148" t="s">
        <v>90</v>
      </c>
      <c r="B59" s="149" t="b">
        <v>1</v>
      </c>
      <c r="C59" s="148" t="s">
        <v>104</v>
      </c>
      <c r="D59" s="149" t="b">
        <v>1</v>
      </c>
      <c r="E59" s="148" t="s">
        <v>105</v>
      </c>
      <c r="F59" s="149" t="b">
        <v>0</v>
      </c>
      <c r="G59" s="148" t="s">
        <v>105</v>
      </c>
      <c r="H59" s="149" t="b">
        <v>0</v>
      </c>
      <c r="I59" s="148" t="s">
        <v>104</v>
      </c>
      <c r="J59" s="148" t="b">
        <f>F59</f>
        <v>0</v>
      </c>
      <c r="K59" s="148" t="s">
        <v>104</v>
      </c>
      <c r="L59" s="148" t="b">
        <f>H59</f>
        <v>0</v>
      </c>
    </row>
    <row r="60" spans="1:12" s="148" customFormat="1" ht="0.75" customHeight="1" x14ac:dyDescent="0.25">
      <c r="A60" s="151"/>
      <c r="B60" s="151">
        <f>IF(B59=TRUE,1,0)</f>
        <v>1</v>
      </c>
      <c r="C60" s="151"/>
      <c r="D60" s="151">
        <f>IF(D59=TRUE,1,0)</f>
        <v>1</v>
      </c>
      <c r="F60" s="151">
        <f>IF(F59=TRUE,1,0)</f>
        <v>0</v>
      </c>
      <c r="H60" s="151">
        <f>IF(H59=TRUE,1,0)</f>
        <v>0</v>
      </c>
      <c r="J60" s="151">
        <f>IF(J59=TRUE,1,0)</f>
        <v>0</v>
      </c>
      <c r="L60" s="151">
        <f>IF(L59=TRUE,1,0)</f>
        <v>0</v>
      </c>
    </row>
    <row r="61" spans="1:12" s="148" customFormat="1" ht="0.75" customHeight="1" x14ac:dyDescent="0.25">
      <c r="A61" s="148" t="s">
        <v>10</v>
      </c>
      <c r="B61" s="151" t="s">
        <v>91</v>
      </c>
      <c r="C61" s="148" t="s">
        <v>10</v>
      </c>
      <c r="D61" s="153" t="s">
        <v>106</v>
      </c>
      <c r="E61" s="148" t="s">
        <v>10</v>
      </c>
      <c r="F61" s="148" t="s">
        <v>99</v>
      </c>
      <c r="G61" s="148" t="s">
        <v>10</v>
      </c>
      <c r="H61" s="148" t="s">
        <v>100</v>
      </c>
      <c r="I61" s="148" t="s">
        <v>10</v>
      </c>
      <c r="J61" s="148" t="s">
        <v>101</v>
      </c>
      <c r="K61" s="148" t="s">
        <v>10</v>
      </c>
      <c r="L61" s="148" t="s">
        <v>102</v>
      </c>
    </row>
    <row r="62" spans="1:12" s="148" customFormat="1" ht="0.75" customHeight="1" x14ac:dyDescent="0.25">
      <c r="A62" s="152">
        <f>data!$O$4</f>
        <v>100</v>
      </c>
      <c r="B62" s="148">
        <f>$B$60*IF(data!$Q$3&gt;data!$Q$4,data!$P$4,0)</f>
        <v>38.5</v>
      </c>
      <c r="C62" s="152">
        <f>data!$E$4</f>
        <v>110</v>
      </c>
      <c r="D62" s="153">
        <f>D60*data!F4</f>
        <v>35</v>
      </c>
      <c r="E62" s="148">
        <f>data!E3</f>
        <v>40</v>
      </c>
      <c r="F62" s="148">
        <f>data!$W$41*$F$60</f>
        <v>0</v>
      </c>
      <c r="G62" s="148">
        <f>data!$E$3</f>
        <v>40</v>
      </c>
      <c r="H62" s="148">
        <f>data!$F$3*$H$60</f>
        <v>0</v>
      </c>
      <c r="I62" s="148">
        <f>data!O4</f>
        <v>100</v>
      </c>
      <c r="J62" s="148">
        <f>data!$R$4*$J$60</f>
        <v>0</v>
      </c>
      <c r="K62" s="148">
        <f>data!$E$4</f>
        <v>110</v>
      </c>
      <c r="L62" s="148">
        <f>$L$60*data!F4</f>
        <v>0</v>
      </c>
    </row>
    <row r="63" spans="1:12" s="148" customFormat="1" ht="0.75" customHeight="1" x14ac:dyDescent="0.25">
      <c r="A63" s="152">
        <f>data!$O$4</f>
        <v>100</v>
      </c>
      <c r="B63" s="148">
        <f>$B$60*IF(data!$Q$3&gt;data!$Q$4,data!$P$5-data!$P$3,0)</f>
        <v>56</v>
      </c>
      <c r="C63" s="152">
        <f>data!$O$4</f>
        <v>100</v>
      </c>
      <c r="D63" s="152">
        <f>D60*((data!P5-data!R3)*(200-data!E8)/200+data!R4*data!E8/200)</f>
        <v>44.974999999999994</v>
      </c>
      <c r="E63" s="152">
        <f>data!O3</f>
        <v>50</v>
      </c>
      <c r="F63" s="148">
        <f>data!$W$41*$F$60</f>
        <v>0</v>
      </c>
      <c r="G63" s="148">
        <f>data!$E$3</f>
        <v>40</v>
      </c>
      <c r="H63" s="148">
        <f>$H$60*data!R3</f>
        <v>0</v>
      </c>
      <c r="I63" s="148">
        <f>data!E4</f>
        <v>110</v>
      </c>
      <c r="J63" s="148">
        <f>data!$R$4*$J$60</f>
        <v>0</v>
      </c>
      <c r="K63" s="148">
        <f>data!$E$4</f>
        <v>110</v>
      </c>
      <c r="L63" s="148">
        <f>$L$60*data!R4</f>
        <v>0</v>
      </c>
    </row>
    <row r="64" spans="1:12" s="148" customFormat="1" ht="0.75" customHeight="1" x14ac:dyDescent="0.25"/>
    <row r="65" s="148" customFormat="1" ht="0.75" customHeight="1" x14ac:dyDescent="0.25"/>
    <row r="66" s="148" customFormat="1" ht="0.75" customHeight="1" x14ac:dyDescent="0.25"/>
    <row r="67" s="144" customFormat="1" x14ac:dyDescent="0.25"/>
    <row r="68" s="144" customFormat="1" x14ac:dyDescent="0.25"/>
    <row r="69" s="144" customFormat="1" x14ac:dyDescent="0.25"/>
    <row r="70" s="144" customFormat="1" x14ac:dyDescent="0.25"/>
    <row r="71" s="144" customFormat="1" x14ac:dyDescent="0.25"/>
    <row r="72" s="144" customFormat="1" x14ac:dyDescent="0.25"/>
    <row r="73" s="144" customFormat="1" x14ac:dyDescent="0.25"/>
    <row r="74" s="144" customFormat="1" x14ac:dyDescent="0.25"/>
    <row r="75" s="144" customFormat="1" x14ac:dyDescent="0.25"/>
    <row r="76" s="144" customFormat="1" x14ac:dyDescent="0.25"/>
    <row r="77" s="144" customFormat="1" x14ac:dyDescent="0.25"/>
    <row r="78" s="144" customFormat="1" x14ac:dyDescent="0.25"/>
    <row r="79" s="144" customFormat="1" x14ac:dyDescent="0.25"/>
    <row r="80" s="144" customFormat="1" x14ac:dyDescent="0.25"/>
    <row r="81" s="144" customFormat="1" x14ac:dyDescent="0.25"/>
    <row r="82" s="144" customFormat="1" x14ac:dyDescent="0.25"/>
    <row r="83" s="144" customFormat="1" x14ac:dyDescent="0.25"/>
    <row r="84" s="144" customFormat="1" x14ac:dyDescent="0.25"/>
    <row r="85" s="144" customFormat="1" x14ac:dyDescent="0.25"/>
    <row r="86" s="144" customFormat="1" x14ac:dyDescent="0.25"/>
    <row r="87" s="144" customFormat="1" x14ac:dyDescent="0.25"/>
    <row r="88" s="144" customFormat="1" x14ac:dyDescent="0.25"/>
    <row r="89" s="144" customFormat="1" x14ac:dyDescent="0.25"/>
    <row r="90" s="144" customFormat="1" x14ac:dyDescent="0.25"/>
    <row r="91" s="144" customFormat="1" x14ac:dyDescent="0.25"/>
    <row r="92" s="144" customFormat="1" x14ac:dyDescent="0.25"/>
    <row r="93" s="144" customFormat="1" x14ac:dyDescent="0.25"/>
    <row r="94" s="144" customFormat="1" x14ac:dyDescent="0.25"/>
    <row r="95" s="144" customFormat="1" x14ac:dyDescent="0.25"/>
    <row r="96" s="144" customFormat="1" x14ac:dyDescent="0.25"/>
    <row r="97" s="144" customFormat="1" x14ac:dyDescent="0.25"/>
    <row r="98" s="144" customFormat="1" x14ac:dyDescent="0.25"/>
    <row r="99" s="144" customFormat="1" x14ac:dyDescent="0.25"/>
    <row r="100" s="147" customFormat="1" x14ac:dyDescent="0.25"/>
  </sheetData>
  <sheetProtection algorithmName="SHA-512" hashValue="4ztBbUZdStlvucXhJTbLBY9IpyUt8VTwuRfjL05D5LXXRdaXD47U8fTAm802984lACLhLGYAeDckHN8BBZT/cA==" saltValue="g/1yq+v17PFINH7g/1Ywsg==" spinCount="100000" sheet="1" objects="1" scenarios="1"/>
  <scenarios current="0" show="0">
    <scenario name="15" locked="1" count="10" user="STephen Erfle" comment="Created by STephen Erfle on 1/20/2004">
      <inputCells r="B48" val="TRUE"/>
      <inputCells r="D48" val="TRUE"/>
      <inputCells r="F48" val="FALSE"/>
      <inputCells r="H48" val="FALSE"/>
      <inputCells r="J48" val="FALSE"/>
      <inputCells r="L48" val="FALSE"/>
      <inputCells r="B59" val="FALSE"/>
      <inputCells r="D59" val="FALSE"/>
      <inputCells r="F59" val="FALSE"/>
      <inputCells r="H59" val="FALSE"/>
    </scenario>
    <scenario name="16" locked="1" count="10" user="STephen Erfle" comment="Created by STephen Erfle on 1/20/2004">
      <inputCells r="B48" val="TRUE"/>
      <inputCells r="D48" val="TRUE"/>
      <inputCells r="F48" val="FALSE"/>
      <inputCells r="H48" val="FALSE"/>
      <inputCells r="J48" val="FALSE"/>
      <inputCells r="L48" val="FALSE"/>
      <inputCells r="B59" val="TRUE"/>
      <inputCells r="D59" val="TRUE"/>
      <inputCells r="F59" val="TRUE"/>
      <inputCells r="H59" val="TRUE"/>
    </scenario>
    <scenario name="17" locked="1" count="10" user="STephen Erfle" comment="Created by STephen Erfle on 1/20/2004">
      <inputCells r="B48" val="TRUE"/>
      <inputCells r="D48" val="TRUE"/>
      <inputCells r="F48" val="FALSE"/>
      <inputCells r="H48" val="FALSE"/>
      <inputCells r="J48" val="FALSE"/>
      <inputCells r="L48" val="FALSE"/>
      <inputCells r="B59" val="TRUE"/>
      <inputCells r="D59" val="TRUE"/>
      <inputCells r="F59" val="TRUE"/>
      <inputCells r="H59" val="TRUE"/>
    </scenario>
  </scenarios>
  <mergeCells count="2">
    <mergeCell ref="I31:O31"/>
    <mergeCell ref="A1:B1"/>
  </mergeCells>
  <phoneticPr fontId="0" type="noConversion"/>
  <hyperlinks>
    <hyperlink ref="I31:M31" location="data!A1" display="click to go to data worksheet"/>
  </hyperlinks>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0</xdr:col>
                    <xdr:colOff>38100</xdr:colOff>
                    <xdr:row>20</xdr:row>
                    <xdr:rowOff>182880</xdr:rowOff>
                  </from>
                  <to>
                    <xdr:col>1</xdr:col>
                    <xdr:colOff>99060</xdr:colOff>
                    <xdr:row>22</xdr:row>
                    <xdr:rowOff>38100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12</xdr:col>
                    <xdr:colOff>449580</xdr:colOff>
                    <xdr:row>24</xdr:row>
                    <xdr:rowOff>213360</xdr:rowOff>
                  </from>
                  <to>
                    <xdr:col>13</xdr:col>
                    <xdr:colOff>152400</xdr:colOff>
                    <xdr:row>26</xdr:row>
                    <xdr:rowOff>22860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8</xdr:col>
                    <xdr:colOff>38100</xdr:colOff>
                    <xdr:row>21</xdr:row>
                    <xdr:rowOff>160020</xdr:rowOff>
                  </from>
                  <to>
                    <xdr:col>9</xdr:col>
                    <xdr:colOff>106680</xdr:colOff>
                    <xdr:row>23</xdr:row>
                    <xdr:rowOff>7620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8</xdr:col>
                    <xdr:colOff>38100</xdr:colOff>
                    <xdr:row>22</xdr:row>
                    <xdr:rowOff>190500</xdr:rowOff>
                  </from>
                  <to>
                    <xdr:col>9</xdr:col>
                    <xdr:colOff>106680</xdr:colOff>
                    <xdr:row>24</xdr:row>
                    <xdr:rowOff>7620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8</xdr:col>
                    <xdr:colOff>38100</xdr:colOff>
                    <xdr:row>23</xdr:row>
                    <xdr:rowOff>198120</xdr:rowOff>
                  </from>
                  <to>
                    <xdr:col>9</xdr:col>
                    <xdr:colOff>106680</xdr:colOff>
                    <xdr:row>25</xdr:row>
                    <xdr:rowOff>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8</xdr:col>
                    <xdr:colOff>38100</xdr:colOff>
                    <xdr:row>24</xdr:row>
                    <xdr:rowOff>213360</xdr:rowOff>
                  </from>
                  <to>
                    <xdr:col>9</xdr:col>
                    <xdr:colOff>121920</xdr:colOff>
                    <xdr:row>26</xdr:row>
                    <xdr:rowOff>22860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0</xdr:col>
                    <xdr:colOff>38100</xdr:colOff>
                    <xdr:row>21</xdr:row>
                    <xdr:rowOff>175260</xdr:rowOff>
                  </from>
                  <to>
                    <xdr:col>1</xdr:col>
                    <xdr:colOff>571500</xdr:colOff>
                    <xdr:row>23</xdr:row>
                    <xdr:rowOff>7620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0</xdr:col>
                    <xdr:colOff>38100</xdr:colOff>
                    <xdr:row>23</xdr:row>
                    <xdr:rowOff>7620</xdr:rowOff>
                  </from>
                  <to>
                    <xdr:col>1</xdr:col>
                    <xdr:colOff>571500</xdr:colOff>
                    <xdr:row>24</xdr:row>
                    <xdr:rowOff>7620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4</xdr:col>
                    <xdr:colOff>449580</xdr:colOff>
                    <xdr:row>25</xdr:row>
                    <xdr:rowOff>0</xdr:rowOff>
                  </from>
                  <to>
                    <xdr:col>6</xdr:col>
                    <xdr:colOff>0</xdr:colOff>
                    <xdr:row>26</xdr:row>
                    <xdr:rowOff>7620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0</xdr:col>
                    <xdr:colOff>38100</xdr:colOff>
                    <xdr:row>24</xdr:row>
                    <xdr:rowOff>0</xdr:rowOff>
                  </from>
                  <to>
                    <xdr:col>1</xdr:col>
                    <xdr:colOff>563880</xdr:colOff>
                    <xdr:row>25</xdr:row>
                    <xdr:rowOff>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0</xdr:col>
                    <xdr:colOff>38100</xdr:colOff>
                    <xdr:row>24</xdr:row>
                    <xdr:rowOff>198120</xdr:rowOff>
                  </from>
                  <to>
                    <xdr:col>1</xdr:col>
                    <xdr:colOff>99060</xdr:colOff>
                    <xdr:row>26</xdr:row>
                    <xdr:rowOff>22860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0</xdr:col>
                    <xdr:colOff>38100</xdr:colOff>
                    <xdr:row>29</xdr:row>
                    <xdr:rowOff>0</xdr:rowOff>
                  </from>
                  <to>
                    <xdr:col>1</xdr:col>
                    <xdr:colOff>563880</xdr:colOff>
                    <xdr:row>30</xdr:row>
                    <xdr:rowOff>7620</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8</xdr:col>
                    <xdr:colOff>38100</xdr:colOff>
                    <xdr:row>28</xdr:row>
                    <xdr:rowOff>190500</xdr:rowOff>
                  </from>
                  <to>
                    <xdr:col>9</xdr:col>
                    <xdr:colOff>106680</xdr:colOff>
                    <xdr:row>30</xdr:row>
                    <xdr:rowOff>7620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3</xdr:col>
                    <xdr:colOff>601980</xdr:colOff>
                    <xdr:row>19</xdr:row>
                    <xdr:rowOff>213360</xdr:rowOff>
                  </from>
                  <to>
                    <xdr:col>4</xdr:col>
                    <xdr:colOff>297180</xdr:colOff>
                    <xdr:row>21</xdr:row>
                    <xdr:rowOff>22860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8</xdr:col>
                    <xdr:colOff>38100</xdr:colOff>
                    <xdr:row>20</xdr:row>
                    <xdr:rowOff>152400</xdr:rowOff>
                  </from>
                  <to>
                    <xdr:col>9</xdr:col>
                    <xdr:colOff>106680</xdr:colOff>
                    <xdr:row>22</xdr:row>
                    <xdr:rowOff>22860</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11</xdr:col>
                    <xdr:colOff>601980</xdr:colOff>
                    <xdr:row>19</xdr:row>
                    <xdr:rowOff>213360</xdr:rowOff>
                  </from>
                  <to>
                    <xdr:col>12</xdr:col>
                    <xdr:colOff>297180</xdr:colOff>
                    <xdr:row>21</xdr:row>
                    <xdr:rowOff>22860</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11</xdr:col>
                    <xdr:colOff>601980</xdr:colOff>
                    <xdr:row>22</xdr:row>
                    <xdr:rowOff>182880</xdr:rowOff>
                  </from>
                  <to>
                    <xdr:col>12</xdr:col>
                    <xdr:colOff>297180</xdr:colOff>
                    <xdr:row>24</xdr:row>
                    <xdr:rowOff>22860</xdr:rowOff>
                  </to>
                </anchor>
              </controlPr>
            </control>
          </mc:Choice>
        </mc:AlternateContent>
        <mc:AlternateContent xmlns:mc="http://schemas.openxmlformats.org/markup-compatibility/2006">
          <mc:Choice Requires="x14">
            <control shapeId="7190" r:id="rId21" name="Scroll Bar 22">
              <controlPr defaultSize="0" autoPict="0">
                <anchor moveWithCells="1">
                  <from>
                    <xdr:col>2</xdr:col>
                    <xdr:colOff>297180</xdr:colOff>
                    <xdr:row>28</xdr:row>
                    <xdr:rowOff>0</xdr:rowOff>
                  </from>
                  <to>
                    <xdr:col>4</xdr:col>
                    <xdr:colOff>411480</xdr:colOff>
                    <xdr:row>28</xdr:row>
                    <xdr:rowOff>182880</xdr:rowOff>
                  </to>
                </anchor>
              </controlPr>
            </control>
          </mc:Choice>
        </mc:AlternateContent>
        <mc:AlternateContent xmlns:mc="http://schemas.openxmlformats.org/markup-compatibility/2006">
          <mc:Choice Requires="x14">
            <control shapeId="7198" r:id="rId22" name="Scroll Bar 30">
              <controlPr defaultSize="0" autoPict="0">
                <anchor moveWithCells="1">
                  <from>
                    <xdr:col>10</xdr:col>
                    <xdr:colOff>259080</xdr:colOff>
                    <xdr:row>28</xdr:row>
                    <xdr:rowOff>7620</xdr:rowOff>
                  </from>
                  <to>
                    <xdr:col>12</xdr:col>
                    <xdr:colOff>365760</xdr:colOff>
                    <xdr:row>28</xdr:row>
                    <xdr:rowOff>190500</xdr:rowOff>
                  </to>
                </anchor>
              </controlPr>
            </control>
          </mc:Choice>
        </mc:AlternateContent>
        <mc:AlternateContent xmlns:mc="http://schemas.openxmlformats.org/markup-compatibility/2006">
          <mc:Choice Requires="x14">
            <control shapeId="7199" r:id="rId23" name="Check Box 31">
              <controlPr defaultSize="0" autoFill="0" autoLine="0" autoPict="0">
                <anchor moveWithCells="1">
                  <from>
                    <xdr:col>3</xdr:col>
                    <xdr:colOff>594360</xdr:colOff>
                    <xdr:row>22</xdr:row>
                    <xdr:rowOff>175260</xdr:rowOff>
                  </from>
                  <to>
                    <xdr:col>4</xdr:col>
                    <xdr:colOff>289560</xdr:colOff>
                    <xdr:row>24</xdr:row>
                    <xdr:rowOff>22860</xdr:rowOff>
                  </to>
                </anchor>
              </controlPr>
            </control>
          </mc:Choice>
        </mc:AlternateContent>
        <mc:AlternateContent xmlns:mc="http://schemas.openxmlformats.org/markup-compatibility/2006">
          <mc:Choice Requires="x14">
            <control shapeId="7200" r:id="rId24" name="Check Box 32">
              <controlPr defaultSize="0" autoFill="0" autoLine="0" autoPict="0">
                <anchor moveWithCells="1">
                  <from>
                    <xdr:col>0</xdr:col>
                    <xdr:colOff>38100</xdr:colOff>
                    <xdr:row>25</xdr:row>
                    <xdr:rowOff>190500</xdr:rowOff>
                  </from>
                  <to>
                    <xdr:col>1</xdr:col>
                    <xdr:colOff>99060</xdr:colOff>
                    <xdr:row>27</xdr:row>
                    <xdr:rowOff>7620</xdr:rowOff>
                  </to>
                </anchor>
              </controlPr>
            </control>
          </mc:Choice>
        </mc:AlternateContent>
        <mc:AlternateContent xmlns:mc="http://schemas.openxmlformats.org/markup-compatibility/2006">
          <mc:Choice Requires="x14">
            <control shapeId="7201" r:id="rId25" name="Check Box 33">
              <controlPr defaultSize="0" autoFill="0" autoLine="0" autoPict="0">
                <anchor moveWithCells="1">
                  <from>
                    <xdr:col>11</xdr:col>
                    <xdr:colOff>121920</xdr:colOff>
                    <xdr:row>26</xdr:row>
                    <xdr:rowOff>7620</xdr:rowOff>
                  </from>
                  <to>
                    <xdr:col>11</xdr:col>
                    <xdr:colOff>426720</xdr:colOff>
                    <xdr:row>27</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
  <sheetViews>
    <sheetView showGridLines="0" workbookViewId="0">
      <selection activeCell="I22" sqref="I22:O22"/>
    </sheetView>
  </sheetViews>
  <sheetFormatPr defaultColWidth="9.109375" defaultRowHeight="13.2" x14ac:dyDescent="0.25"/>
  <cols>
    <col min="1" max="1" width="3.88671875" style="2" customWidth="1"/>
    <col min="2" max="2" width="21.44140625" style="2" customWidth="1"/>
    <col min="3" max="3" width="3.5546875" style="2" customWidth="1"/>
    <col min="4" max="5" width="9.33203125" style="2" customWidth="1"/>
    <col min="6" max="6" width="2" style="2" customWidth="1"/>
    <col min="7" max="15" width="8.33203125" style="2" customWidth="1"/>
    <col min="16" max="16384" width="9.109375" style="2"/>
  </cols>
  <sheetData>
    <row r="1" spans="1:16" ht="15.6" x14ac:dyDescent="0.3">
      <c r="A1" s="48" t="s">
        <v>28</v>
      </c>
      <c r="B1" s="49"/>
      <c r="C1" s="50" t="s">
        <v>31</v>
      </c>
      <c r="I1" s="8" t="s">
        <v>118</v>
      </c>
      <c r="J1" s="8" t="str">
        <f>B27</f>
        <v>Panel C</v>
      </c>
      <c r="K1" s="18"/>
      <c r="L1" s="8"/>
      <c r="M1" s="6"/>
      <c r="N1" s="18"/>
      <c r="O1" s="51" t="str">
        <f>IF(data!$E$37=1,"(note: Bob is"," ")</f>
        <v>(note: Bob is</v>
      </c>
    </row>
    <row r="2" spans="1:16" ht="15.75" customHeight="1" x14ac:dyDescent="0.35">
      <c r="A2" s="52"/>
      <c r="B2" s="30" t="s">
        <v>32</v>
      </c>
      <c r="C2" s="38"/>
      <c r="G2" s="18"/>
      <c r="H2" s="53"/>
      <c r="I2" s="54"/>
      <c r="J2" s="55"/>
      <c r="K2" s="53"/>
      <c r="L2" s="54"/>
      <c r="M2" s="55"/>
      <c r="N2" s="18"/>
      <c r="O2" s="51" t="str">
        <f>IF(data!$E$37=1,"upside down)"," ")</f>
        <v>upside down)</v>
      </c>
    </row>
    <row r="3" spans="1:16" ht="23.25" customHeight="1" thickBot="1" x14ac:dyDescent="0.45">
      <c r="A3" s="56"/>
      <c r="B3" s="57" t="s">
        <v>76</v>
      </c>
      <c r="C3" s="58"/>
      <c r="G3" s="59"/>
      <c r="H3" s="60" t="str">
        <f>IF(data!$C$37=1,"Annie's Y axis"," ")</f>
        <v>Annie's Y axis</v>
      </c>
      <c r="I3" s="61"/>
      <c r="J3" s="62"/>
      <c r="K3" s="63"/>
      <c r="L3" s="61"/>
      <c r="M3" s="62"/>
      <c r="N3" s="59"/>
      <c r="O3" s="64" t="str">
        <f>IF(data!$E$37=1,"Bob's Origin"," ")</f>
        <v>Bob's Origin</v>
      </c>
    </row>
    <row r="4" spans="1:16" ht="16.2" thickBot="1" x14ac:dyDescent="0.35">
      <c r="A4" s="183" t="s">
        <v>134</v>
      </c>
      <c r="B4" s="184"/>
      <c r="C4" s="185"/>
      <c r="G4" s="59"/>
      <c r="H4" s="59"/>
      <c r="I4" s="59"/>
      <c r="J4" s="59"/>
      <c r="K4" s="59"/>
      <c r="L4" s="59"/>
      <c r="M4" s="59"/>
      <c r="N4" s="59"/>
      <c r="O4" s="59"/>
    </row>
    <row r="5" spans="1:16" ht="15.6" x14ac:dyDescent="0.3">
      <c r="A5" s="18"/>
      <c r="F5" s="65" t="str">
        <f>IF(data!$E$37=1,"Bob's X axis (read right to left)"," ")</f>
        <v>Bob's X axis (read right to left)</v>
      </c>
      <c r="G5" s="59"/>
      <c r="H5" s="59"/>
      <c r="I5" s="59"/>
      <c r="J5" s="59"/>
      <c r="K5" s="59"/>
      <c r="L5" s="59"/>
      <c r="M5" s="59"/>
      <c r="N5" s="59"/>
      <c r="O5" s="59"/>
    </row>
    <row r="6" spans="1:16" ht="15.6" x14ac:dyDescent="0.3">
      <c r="A6" s="21"/>
      <c r="G6" s="59"/>
      <c r="H6" s="59"/>
      <c r="I6" s="59"/>
      <c r="J6" s="59"/>
      <c r="K6" s="59"/>
      <c r="L6" s="59"/>
      <c r="M6" s="59"/>
      <c r="N6" s="59"/>
      <c r="O6" s="59"/>
    </row>
    <row r="7" spans="1:16" ht="18.600000000000001" thickBot="1" x14ac:dyDescent="0.4">
      <c r="A7" s="18"/>
      <c r="B7" s="66"/>
      <c r="C7" s="59"/>
      <c r="E7" s="67" t="s">
        <v>80</v>
      </c>
      <c r="G7" s="59"/>
      <c r="H7" s="59"/>
      <c r="I7" s="59"/>
      <c r="J7" s="59"/>
      <c r="K7" s="59"/>
      <c r="L7" s="59"/>
      <c r="M7" s="59"/>
      <c r="N7" s="59"/>
      <c r="O7" s="59"/>
    </row>
    <row r="8" spans="1:16" ht="25.2" x14ac:dyDescent="0.45">
      <c r="A8" s="18"/>
      <c r="B8" s="68"/>
      <c r="C8" s="69"/>
      <c r="D8" s="70" t="s">
        <v>10</v>
      </c>
      <c r="E8" s="71" t="s">
        <v>35</v>
      </c>
      <c r="G8" s="59"/>
      <c r="H8" s="59"/>
      <c r="I8" s="59"/>
      <c r="J8" s="59"/>
      <c r="K8" s="59"/>
      <c r="L8" s="59"/>
      <c r="M8" s="59"/>
      <c r="N8" s="59"/>
      <c r="O8" s="59"/>
    </row>
    <row r="9" spans="1:16" ht="24.75" customHeight="1" thickBot="1" x14ac:dyDescent="0.5">
      <c r="B9" s="72"/>
      <c r="C9" s="73" t="s">
        <v>28</v>
      </c>
      <c r="D9" s="74">
        <f>D27</f>
        <v>75</v>
      </c>
      <c r="E9" s="75">
        <f>E27</f>
        <v>70</v>
      </c>
      <c r="F9" s="76"/>
      <c r="G9" s="59"/>
      <c r="H9" s="59"/>
      <c r="I9" s="59"/>
      <c r="J9" s="59"/>
      <c r="K9" s="59"/>
      <c r="L9" s="59"/>
      <c r="M9" s="59"/>
      <c r="N9" s="59"/>
      <c r="O9" s="59"/>
    </row>
    <row r="10" spans="1:16" ht="26.4" thickTop="1" thickBot="1" x14ac:dyDescent="0.5">
      <c r="B10" s="77"/>
      <c r="C10" s="73" t="s">
        <v>64</v>
      </c>
      <c r="D10" s="74">
        <f>D11-D27</f>
        <v>75</v>
      </c>
      <c r="E10" s="75">
        <f>E11-E27</f>
        <v>70</v>
      </c>
      <c r="F10" s="18"/>
      <c r="G10" s="59"/>
      <c r="H10" s="59"/>
      <c r="I10" s="59"/>
      <c r="J10" s="59"/>
      <c r="K10" s="59"/>
      <c r="L10" s="59"/>
      <c r="M10" s="59"/>
      <c r="N10" s="59"/>
      <c r="O10" s="59"/>
    </row>
    <row r="11" spans="1:16" ht="26.4" thickTop="1" thickBot="1" x14ac:dyDescent="0.5">
      <c r="B11" s="77"/>
      <c r="C11" s="73" t="s">
        <v>65</v>
      </c>
      <c r="D11" s="78">
        <v>150</v>
      </c>
      <c r="E11" s="79">
        <v>140</v>
      </c>
      <c r="F11" s="18"/>
      <c r="G11" s="59"/>
      <c r="H11" s="59"/>
      <c r="I11" s="59"/>
      <c r="J11" s="59"/>
      <c r="K11" s="59"/>
      <c r="L11" s="59"/>
      <c r="M11" s="59"/>
      <c r="N11" s="59"/>
      <c r="O11" s="59"/>
    </row>
    <row r="12" spans="1:16" ht="6.75" customHeight="1" x14ac:dyDescent="0.3">
      <c r="F12" s="18"/>
      <c r="G12" s="59"/>
      <c r="H12" s="59"/>
      <c r="I12" s="59"/>
      <c r="J12" s="59"/>
      <c r="K12" s="59"/>
      <c r="L12" s="59"/>
      <c r="M12" s="59"/>
      <c r="N12" s="59"/>
      <c r="O12" s="59"/>
    </row>
    <row r="13" spans="1:16" ht="22.8" x14ac:dyDescent="0.4">
      <c r="A13" s="80" t="s">
        <v>46</v>
      </c>
      <c r="B13" s="81"/>
      <c r="C13" s="82"/>
      <c r="D13" s="82"/>
      <c r="E13" s="83" t="s">
        <v>45</v>
      </c>
      <c r="F13" s="18"/>
      <c r="G13" s="59"/>
      <c r="H13" s="59"/>
      <c r="I13" s="59"/>
      <c r="J13" s="59"/>
      <c r="K13" s="59"/>
      <c r="L13" s="59"/>
      <c r="M13" s="59"/>
      <c r="N13" s="59"/>
      <c r="O13" s="59"/>
    </row>
    <row r="14" spans="1:16" ht="15.6" x14ac:dyDescent="0.3">
      <c r="A14" s="21"/>
      <c r="B14" s="76"/>
      <c r="C14" s="18"/>
      <c r="D14" s="18"/>
      <c r="E14" s="18"/>
      <c r="F14" s="20"/>
      <c r="G14" s="59"/>
      <c r="H14" s="59"/>
      <c r="I14" s="59"/>
      <c r="J14" s="59"/>
      <c r="K14" s="59"/>
      <c r="L14" s="59"/>
      <c r="M14" s="59"/>
      <c r="N14" s="59"/>
      <c r="O14" s="59"/>
    </row>
    <row r="15" spans="1:16" ht="15.6" x14ac:dyDescent="0.3">
      <c r="A15" s="18"/>
      <c r="B15" s="18"/>
      <c r="C15" s="18"/>
      <c r="D15" s="18"/>
      <c r="E15" s="18"/>
      <c r="F15" s="18"/>
      <c r="G15" s="59"/>
      <c r="H15" s="59"/>
      <c r="I15" s="59"/>
      <c r="J15" s="59"/>
      <c r="K15" s="59"/>
      <c r="L15" s="59"/>
      <c r="M15" s="59"/>
      <c r="N15" s="59"/>
      <c r="O15" s="59"/>
      <c r="P15" s="84" t="str">
        <f>IF(data!$C$37=1,"Annie's X axis"," ")</f>
        <v>Annie's X axis</v>
      </c>
    </row>
    <row r="16" spans="1:16" ht="22.8" x14ac:dyDescent="0.4">
      <c r="A16" s="80" t="s">
        <v>77</v>
      </c>
      <c r="B16" s="81"/>
      <c r="C16" s="82"/>
      <c r="D16" s="82"/>
      <c r="E16" s="83" t="s">
        <v>78</v>
      </c>
      <c r="F16" s="85"/>
      <c r="G16" s="59"/>
      <c r="H16" s="59"/>
      <c r="I16" s="59"/>
      <c r="J16" s="59"/>
      <c r="K16" s="59"/>
      <c r="L16" s="59"/>
      <c r="M16" s="59"/>
      <c r="N16" s="59"/>
      <c r="O16" s="59"/>
    </row>
    <row r="17" spans="1:15" ht="15.6" x14ac:dyDescent="0.3">
      <c r="A17" s="21"/>
      <c r="B17" s="76"/>
      <c r="C17" s="18"/>
      <c r="D17" s="18"/>
      <c r="E17" s="18"/>
      <c r="F17" s="37"/>
      <c r="L17" s="59"/>
      <c r="M17" s="59"/>
      <c r="N17" s="59"/>
      <c r="O17" s="59"/>
    </row>
    <row r="18" spans="1:15" ht="23.25" customHeight="1" x14ac:dyDescent="0.4">
      <c r="A18" s="18"/>
      <c r="B18" s="18"/>
      <c r="C18" s="18"/>
      <c r="D18" s="18"/>
      <c r="E18" s="18"/>
      <c r="F18" s="18"/>
      <c r="G18" s="86" t="str">
        <f>IF(data!$C$37=1,"Annie's Origin"," ")</f>
        <v>Annie's Origin</v>
      </c>
      <c r="H18" s="59"/>
      <c r="I18" s="59"/>
      <c r="K18" s="21"/>
      <c r="L18" s="59"/>
      <c r="M18" s="59"/>
      <c r="N18" s="59"/>
      <c r="O18" s="65" t="str">
        <f>IF(data!$E$37=1,"Bob's Y axis"," ")</f>
        <v>Bob's Y axis</v>
      </c>
    </row>
    <row r="19" spans="1:15" ht="13.5" customHeight="1" x14ac:dyDescent="0.3">
      <c r="A19" s="136" t="s">
        <v>130</v>
      </c>
      <c r="B19" s="135"/>
      <c r="C19" s="136"/>
      <c r="D19" s="136"/>
      <c r="E19" s="18"/>
      <c r="F19" s="18"/>
      <c r="G19" s="59"/>
      <c r="H19" s="59"/>
      <c r="I19" s="59"/>
      <c r="J19" s="59"/>
      <c r="K19" s="59"/>
      <c r="L19" s="59"/>
      <c r="M19" s="59"/>
      <c r="N19" s="59"/>
      <c r="O19" s="51" t="str">
        <f>IF(data!$E$37=1,"(read top to bottom)"," ")</f>
        <v>(read top to bottom)</v>
      </c>
    </row>
    <row r="20" spans="1:15" ht="20.25" customHeight="1" x14ac:dyDescent="0.4">
      <c r="A20" s="21"/>
      <c r="B20" s="87" t="str">
        <f>IF(E28=TRUE,"Every point in an Edgeworth Box represents a possible allocation of total resources."," ")</f>
        <v xml:space="preserve"> </v>
      </c>
      <c r="C20" s="18"/>
      <c r="G20" s="59"/>
      <c r="H20" s="59"/>
      <c r="I20" s="59"/>
      <c r="J20" s="59"/>
      <c r="K20" s="59"/>
      <c r="L20" s="59"/>
      <c r="M20" s="59"/>
      <c r="N20" s="59"/>
      <c r="O20" s="59"/>
    </row>
    <row r="21" spans="1:15" ht="15.75" customHeight="1" x14ac:dyDescent="0.3">
      <c r="A21" s="18"/>
      <c r="B21" s="20"/>
      <c r="C21" s="18"/>
      <c r="G21" s="59"/>
      <c r="H21" s="59"/>
      <c r="I21" s="59"/>
      <c r="J21" s="59"/>
      <c r="K21" s="59"/>
      <c r="L21" s="59"/>
      <c r="M21" s="59"/>
      <c r="N21" s="59"/>
      <c r="O21" s="59"/>
    </row>
    <row r="22" spans="1:15" ht="15.75" customHeight="1" x14ac:dyDescent="0.3">
      <c r="A22" s="18" t="s">
        <v>124</v>
      </c>
      <c r="I22" s="181" t="s">
        <v>123</v>
      </c>
      <c r="J22" s="181"/>
      <c r="K22" s="181"/>
      <c r="L22" s="181"/>
      <c r="M22" s="181"/>
      <c r="N22" s="181"/>
      <c r="O22" s="181"/>
    </row>
    <row r="23" spans="1:15" ht="15.75" customHeight="1" x14ac:dyDescent="0.3">
      <c r="B23" s="88"/>
      <c r="C23" s="59"/>
      <c r="D23" s="59"/>
      <c r="E23" s="59"/>
      <c r="F23" s="59"/>
    </row>
    <row r="24" spans="1:15" ht="15.75" customHeight="1" x14ac:dyDescent="0.3">
      <c r="B24" s="59"/>
      <c r="E24" s="20"/>
    </row>
    <row r="25" spans="1:15" ht="15.75" customHeight="1" x14ac:dyDescent="0.3">
      <c r="A25" s="59"/>
      <c r="B25" s="59"/>
      <c r="C25" s="18"/>
      <c r="D25" s="20"/>
      <c r="E25" s="20"/>
      <c r="F25" s="20"/>
    </row>
    <row r="26" spans="1:15" s="9" customFormat="1" ht="0.75" customHeight="1" x14ac:dyDescent="0.3">
      <c r="A26" s="10"/>
      <c r="D26" s="15" t="s">
        <v>10</v>
      </c>
      <c r="E26" s="15" t="s">
        <v>35</v>
      </c>
      <c r="F26" s="13"/>
    </row>
    <row r="27" spans="1:15" s="9" customFormat="1" ht="0.75" customHeight="1" x14ac:dyDescent="0.3">
      <c r="B27" s="9" t="str">
        <f>IF(AND(D27=40,E27=105),"Panel A",IF(AND(D27=50,E27=95),"Panel B",IF(AND(D27=75,E27=70),"Panel C"," ")))</f>
        <v>Panel C</v>
      </c>
      <c r="D27" s="133">
        <v>75</v>
      </c>
      <c r="E27" s="133">
        <v>70</v>
      </c>
      <c r="F27" s="13"/>
    </row>
    <row r="28" spans="1:15" s="9" customFormat="1" ht="0.75" customHeight="1" x14ac:dyDescent="0.3">
      <c r="A28" s="10"/>
      <c r="B28" s="14" t="b">
        <v>1</v>
      </c>
      <c r="D28" s="14" t="b">
        <v>1</v>
      </c>
      <c r="E28" s="134" t="b">
        <v>0</v>
      </c>
      <c r="F28" s="12"/>
    </row>
    <row r="29" spans="1:15" s="9" customFormat="1" ht="0.75" customHeight="1" x14ac:dyDescent="0.25">
      <c r="B29" s="11">
        <f>IF(B28=TRUE,1,0)</f>
        <v>1</v>
      </c>
      <c r="D29" s="11">
        <f>IF(D28=TRUE,1,0)</f>
        <v>1</v>
      </c>
    </row>
    <row r="30" spans="1:15" s="9" customFormat="1" ht="0.75" customHeight="1" x14ac:dyDescent="0.25">
      <c r="A30" s="9" t="s">
        <v>3</v>
      </c>
      <c r="B30" s="9" t="s">
        <v>79</v>
      </c>
      <c r="C30" s="9" t="s">
        <v>3</v>
      </c>
      <c r="D30" s="9" t="s">
        <v>79</v>
      </c>
    </row>
    <row r="31" spans="1:15" s="9" customFormat="1" ht="0.75" customHeight="1" x14ac:dyDescent="0.25">
      <c r="A31" s="9">
        <v>0</v>
      </c>
      <c r="B31" s="9">
        <f>$B$29*$E$27</f>
        <v>70</v>
      </c>
      <c r="C31" s="9">
        <f>$D$27</f>
        <v>75</v>
      </c>
      <c r="D31" s="9">
        <f>$D$29*$E$11</f>
        <v>140</v>
      </c>
    </row>
    <row r="32" spans="1:15" s="9" customFormat="1" ht="0.75" customHeight="1" x14ac:dyDescent="0.25">
      <c r="A32" s="9">
        <f>$D$27</f>
        <v>75</v>
      </c>
      <c r="B32" s="9">
        <f>$B$29*$E$27</f>
        <v>70</v>
      </c>
      <c r="C32" s="9">
        <f>$D$27</f>
        <v>75</v>
      </c>
      <c r="D32" s="9">
        <f>$D$29*$E$27</f>
        <v>70</v>
      </c>
    </row>
    <row r="33" spans="1:4" s="9" customFormat="1" ht="0.75" customHeight="1" x14ac:dyDescent="0.25">
      <c r="A33" s="9">
        <f>$D$27</f>
        <v>75</v>
      </c>
      <c r="B33" s="9">
        <v>0</v>
      </c>
      <c r="C33" s="9">
        <f>$D$11</f>
        <v>150</v>
      </c>
      <c r="D33" s="9">
        <f>$D$29*$E$27</f>
        <v>70</v>
      </c>
    </row>
    <row r="34" spans="1:4" s="9" customFormat="1" ht="0.75" customHeight="1" x14ac:dyDescent="0.25"/>
    <row r="35" spans="1:4" s="9" customFormat="1" ht="0.75" customHeight="1" x14ac:dyDescent="0.25"/>
    <row r="36" spans="1:4" s="9" customFormat="1" ht="0.75" customHeight="1" x14ac:dyDescent="0.25"/>
    <row r="37" spans="1:4" s="9" customFormat="1" ht="0.75" customHeight="1" x14ac:dyDescent="0.25">
      <c r="B37" s="11"/>
      <c r="C37" s="11"/>
      <c r="D37" s="11"/>
    </row>
    <row r="38" spans="1:4" s="9" customFormat="1" ht="0.75" customHeight="1" x14ac:dyDescent="0.25"/>
    <row r="39" spans="1:4" s="9" customFormat="1" ht="0.75" customHeight="1" x14ac:dyDescent="0.25"/>
    <row r="40" spans="1:4" s="9" customFormat="1" ht="0.75" customHeight="1" x14ac:dyDescent="0.25"/>
  </sheetData>
  <sheetProtection password="DAE3" sheet="1" objects="1" scenarios="1"/>
  <scenarios current="0" show="0">
    <scenario name="18A" locked="1" count="5" user="STephen Erfle" comment="Created by STephen Erfle on 1/19/2004">
      <inputCells r="D27" val="40"/>
      <inputCells r="E27" val="105"/>
      <inputCells r="B28" val="TRUE"/>
      <inputCells r="D28" val="TRUE"/>
      <inputCells r="E28" val="FALSE"/>
    </scenario>
    <scenario name="18B" locked="1" count="5" user="STephen Erfle" comment="Created by STephen Erfle on 1/19/2004">
      <inputCells r="D27" val="50"/>
      <inputCells r="E27" val="95"/>
      <inputCells r="B28" val="TRUE"/>
      <inputCells r="D28" val="TRUE"/>
      <inputCells r="E28" val="FALSE"/>
    </scenario>
    <scenario name="18C" locked="1" count="5" user="STephen Erfle" comment="Created by STephen Erfle on 1/19/2004">
      <inputCells r="D27" val="75"/>
      <inputCells r="E27" val="70"/>
      <inputCells r="B28" val="TRUE"/>
      <inputCells r="D28" val="TRUE"/>
      <inputCells r="E28" val="FALSE"/>
    </scenario>
  </scenarios>
  <mergeCells count="2">
    <mergeCell ref="I22:O22"/>
    <mergeCell ref="A4:C4"/>
  </mergeCells>
  <phoneticPr fontId="0" type="noConversion"/>
  <hyperlinks>
    <hyperlink ref="I22:M22" location="data!A1" display="click to go to data worksheet"/>
  </hyperlink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0</xdr:colOff>
                    <xdr:row>0</xdr:row>
                    <xdr:rowOff>190500</xdr:rowOff>
                  </from>
                  <to>
                    <xdr:col>3</xdr:col>
                    <xdr:colOff>68580</xdr:colOff>
                    <xdr:row>2</xdr:row>
                    <xdr:rowOff>7620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0</xdr:col>
                    <xdr:colOff>30480</xdr:colOff>
                    <xdr:row>0</xdr:row>
                    <xdr:rowOff>190500</xdr:rowOff>
                  </from>
                  <to>
                    <xdr:col>1</xdr:col>
                    <xdr:colOff>76200</xdr:colOff>
                    <xdr:row>2</xdr:row>
                    <xdr:rowOff>7620</xdr:rowOff>
                  </to>
                </anchor>
              </controlPr>
            </control>
          </mc:Choice>
        </mc:AlternateContent>
        <mc:AlternateContent xmlns:mc="http://schemas.openxmlformats.org/markup-compatibility/2006">
          <mc:Choice Requires="x14">
            <control shapeId="5143" r:id="rId6" name="Check Box 23">
              <controlPr defaultSize="0" autoFill="0" autoLine="0" autoPict="0">
                <anchor moveWithCells="1">
                  <from>
                    <xdr:col>2</xdr:col>
                    <xdr:colOff>0</xdr:colOff>
                    <xdr:row>2</xdr:row>
                    <xdr:rowOff>30480</xdr:rowOff>
                  </from>
                  <to>
                    <xdr:col>3</xdr:col>
                    <xdr:colOff>76200</xdr:colOff>
                    <xdr:row>2</xdr:row>
                    <xdr:rowOff>266700</xdr:rowOff>
                  </to>
                </anchor>
              </controlPr>
            </control>
          </mc:Choice>
        </mc:AlternateContent>
        <mc:AlternateContent xmlns:mc="http://schemas.openxmlformats.org/markup-compatibility/2006">
          <mc:Choice Requires="x14">
            <control shapeId="5168" r:id="rId7" name="Check Box 48">
              <controlPr defaultSize="0" autoFill="0" autoLine="0" autoPict="0">
                <anchor moveWithCells="1">
                  <from>
                    <xdr:col>0</xdr:col>
                    <xdr:colOff>30480</xdr:colOff>
                    <xdr:row>2</xdr:row>
                    <xdr:rowOff>30480</xdr:rowOff>
                  </from>
                  <to>
                    <xdr:col>1</xdr:col>
                    <xdr:colOff>83820</xdr:colOff>
                    <xdr:row>2</xdr:row>
                    <xdr:rowOff>259080</xdr:rowOff>
                  </to>
                </anchor>
              </controlPr>
            </control>
          </mc:Choice>
        </mc:AlternateContent>
        <mc:AlternateContent xmlns:mc="http://schemas.openxmlformats.org/markup-compatibility/2006">
          <mc:Choice Requires="x14">
            <control shapeId="5173" r:id="rId8" name="Scroll Bar 53">
              <controlPr defaultSize="0" autoPict="0">
                <anchor moveWithCells="1">
                  <from>
                    <xdr:col>1</xdr:col>
                    <xdr:colOff>533400</xdr:colOff>
                    <xdr:row>13</xdr:row>
                    <xdr:rowOff>30480</xdr:rowOff>
                  </from>
                  <to>
                    <xdr:col>4</xdr:col>
                    <xdr:colOff>441960</xdr:colOff>
                    <xdr:row>15</xdr:row>
                    <xdr:rowOff>0</xdr:rowOff>
                  </to>
                </anchor>
              </controlPr>
            </control>
          </mc:Choice>
        </mc:AlternateContent>
        <mc:AlternateContent xmlns:mc="http://schemas.openxmlformats.org/markup-compatibility/2006">
          <mc:Choice Requires="x14">
            <control shapeId="5182" r:id="rId9" name="Scroll Bar 62">
              <controlPr defaultSize="0" autoPict="0">
                <anchor moveWithCells="1">
                  <from>
                    <xdr:col>1</xdr:col>
                    <xdr:colOff>533400</xdr:colOff>
                    <xdr:row>16</xdr:row>
                    <xdr:rowOff>30480</xdr:rowOff>
                  </from>
                  <to>
                    <xdr:col>4</xdr:col>
                    <xdr:colOff>441960</xdr:colOff>
                    <xdr:row>17</xdr:row>
                    <xdr:rowOff>198120</xdr:rowOff>
                  </to>
                </anchor>
              </controlPr>
            </control>
          </mc:Choice>
        </mc:AlternateContent>
        <mc:AlternateContent xmlns:mc="http://schemas.openxmlformats.org/markup-compatibility/2006">
          <mc:Choice Requires="x14">
            <control shapeId="5185" r:id="rId10" name="Check Box 65">
              <controlPr defaultSize="0" autoFill="0" autoLine="0" autoPict="0">
                <anchor moveWithCells="1">
                  <from>
                    <xdr:col>0</xdr:col>
                    <xdr:colOff>0</xdr:colOff>
                    <xdr:row>17</xdr:row>
                    <xdr:rowOff>266700</xdr:rowOff>
                  </from>
                  <to>
                    <xdr:col>1</xdr:col>
                    <xdr:colOff>45720</xdr:colOff>
                    <xdr:row>19</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8"/>
  <sheetViews>
    <sheetView showGridLines="0" topLeftCell="A2" workbookViewId="0">
      <selection activeCell="E31" sqref="E31"/>
    </sheetView>
  </sheetViews>
  <sheetFormatPr defaultColWidth="9.109375" defaultRowHeight="13.2" x14ac:dyDescent="0.25"/>
  <cols>
    <col min="1" max="1" width="3.88671875" style="2" customWidth="1"/>
    <col min="2" max="2" width="20.6640625" style="2" customWidth="1"/>
    <col min="3" max="3" width="3.5546875" style="2" customWidth="1"/>
    <col min="4" max="4" width="10.109375" style="2" customWidth="1"/>
    <col min="5" max="5" width="6.88671875" style="2" customWidth="1"/>
    <col min="6" max="6" width="7.109375" style="2" customWidth="1"/>
    <col min="7" max="7" width="7.44140625" style="2" customWidth="1"/>
    <col min="8" max="8" width="0.44140625" style="2" customWidth="1"/>
    <col min="9" max="9" width="7.6640625" style="2" customWidth="1"/>
    <col min="10" max="17" width="8.6640625" style="2" customWidth="1"/>
    <col min="18" max="16384" width="9.109375" style="2"/>
  </cols>
  <sheetData>
    <row r="1" spans="1:17" ht="18" customHeight="1" x14ac:dyDescent="0.25">
      <c r="A1" s="189" t="s">
        <v>142</v>
      </c>
      <c r="B1" s="189"/>
      <c r="C1" s="189"/>
      <c r="D1" s="189"/>
      <c r="E1" s="189"/>
      <c r="F1" s="189"/>
      <c r="G1" s="189"/>
      <c r="H1" s="189"/>
      <c r="I1" s="189"/>
      <c r="J1" s="189"/>
      <c r="K1" s="189"/>
      <c r="L1" s="189"/>
      <c r="M1" s="189"/>
      <c r="N1" s="189"/>
      <c r="O1" s="189"/>
      <c r="P1" s="189"/>
      <c r="Q1" s="189"/>
    </row>
    <row r="2" spans="1:17" s="143" customFormat="1" ht="3.75" customHeight="1" thickBot="1" x14ac:dyDescent="0.3">
      <c r="A2" s="142"/>
      <c r="B2" s="142"/>
      <c r="C2" s="142"/>
      <c r="D2" s="142"/>
      <c r="E2" s="142"/>
      <c r="F2" s="142"/>
      <c r="G2" s="142"/>
      <c r="H2" s="142"/>
      <c r="I2" s="142"/>
      <c r="J2" s="142"/>
      <c r="K2" s="142"/>
      <c r="L2" s="142"/>
      <c r="M2" s="142"/>
      <c r="N2" s="142"/>
      <c r="O2" s="142"/>
      <c r="P2" s="142"/>
      <c r="Q2" s="142"/>
    </row>
    <row r="3" spans="1:17" ht="18" x14ac:dyDescent="0.35">
      <c r="A3" s="26" t="s">
        <v>28</v>
      </c>
      <c r="B3" s="90"/>
      <c r="C3" s="91" t="s">
        <v>31</v>
      </c>
      <c r="D3" s="59"/>
      <c r="E3" s="186" t="s">
        <v>111</v>
      </c>
      <c r="F3" s="187"/>
      <c r="G3" s="28" t="s">
        <v>36</v>
      </c>
      <c r="H3" s="66"/>
      <c r="I3" s="18"/>
      <c r="J3" s="53"/>
      <c r="L3" s="8" t="str">
        <f>IF(AND(data!E7=500,data!E8=74),"Figure 3.19",IF(AND(data!E7=750,data!E8=114),"Figure 3.20"," "))</f>
        <v>Figure 3.19</v>
      </c>
      <c r="M3" s="7" t="str">
        <f>IF(AND(data!E7=500,data!E8=74),IF(AND(data!E11=0,data!M11=0),"Panel A","Panel B"),IF(AND(data!E7=750,data!E8=114,data!N11=0),"Panel A",IF(AND(data!E7=750,data!E8=114,data!N11=1),"Panel B"," ")))</f>
        <v>Panel B</v>
      </c>
      <c r="N3" s="54"/>
      <c r="O3" s="55"/>
      <c r="P3" s="18"/>
      <c r="Q3" s="51" t="str">
        <f>IF(data!$E$37=1,"(note: Bob is"," ")</f>
        <v>(note: Bob is</v>
      </c>
    </row>
    <row r="4" spans="1:17" ht="15.75" customHeight="1" thickBot="1" x14ac:dyDescent="0.35">
      <c r="A4" s="92"/>
      <c r="B4" s="30" t="s">
        <v>30</v>
      </c>
      <c r="C4" s="93"/>
      <c r="D4" s="18"/>
      <c r="E4" s="29" t="s">
        <v>10</v>
      </c>
      <c r="F4" s="30" t="s">
        <v>35</v>
      </c>
      <c r="G4" s="94" t="s">
        <v>129</v>
      </c>
      <c r="H4" s="95"/>
      <c r="I4" s="59"/>
      <c r="J4" s="84" t="str">
        <f>IF(data!$C$37=1,"   Y"," ")</f>
        <v xml:space="preserve">   Y</v>
      </c>
      <c r="K4" s="61"/>
      <c r="L4" s="62"/>
      <c r="M4" s="63"/>
      <c r="N4" s="61"/>
      <c r="O4" s="62"/>
      <c r="P4" s="59"/>
      <c r="Q4" s="51" t="str">
        <f>IF(data!$E$37=1,"upside down)"," ")</f>
        <v>upside down)</v>
      </c>
    </row>
    <row r="5" spans="1:17" ht="18" customHeight="1" x14ac:dyDescent="0.3">
      <c r="A5" s="52"/>
      <c r="B5" s="30" t="s">
        <v>32</v>
      </c>
      <c r="C5" s="96"/>
      <c r="D5" s="97" t="s">
        <v>28</v>
      </c>
      <c r="E5" s="98">
        <f>IF(data!$D$3=TRUE,data!$E$3," ")</f>
        <v>40</v>
      </c>
      <c r="F5" s="99">
        <f>IF(data!$D$3=TRUE,data!$F$3," ")</f>
        <v>105</v>
      </c>
      <c r="G5" s="100">
        <f>IF(data!$D$3=TRUE,IF(data!$C$10=TRUE,data!$I$3," ")," ")</f>
        <v>2.625</v>
      </c>
      <c r="H5" s="101"/>
      <c r="I5" s="59"/>
      <c r="J5" s="4"/>
      <c r="K5" s="59"/>
      <c r="L5" s="59"/>
      <c r="M5" s="59"/>
      <c r="N5" s="59"/>
      <c r="O5" s="59"/>
      <c r="P5" s="59"/>
      <c r="Q5" s="102" t="str">
        <f>IF(data!$E$37=1,"Bob's Origin"," ")</f>
        <v>Bob's Origin</v>
      </c>
    </row>
    <row r="6" spans="1:17" ht="18" customHeight="1" thickBot="1" x14ac:dyDescent="0.35">
      <c r="A6" s="52"/>
      <c r="B6" s="30" t="s">
        <v>33</v>
      </c>
      <c r="C6" s="96"/>
      <c r="D6" s="103" t="s">
        <v>64</v>
      </c>
      <c r="E6" s="104">
        <f>IF(data!$D$4=TRUE,data!$E$4," ")</f>
        <v>110</v>
      </c>
      <c r="F6" s="104">
        <f>IF(data!$D$4=TRUE,data!$F$4," ")</f>
        <v>35</v>
      </c>
      <c r="G6" s="105">
        <f>IF(data!$D$4=TRUE,IF(data!$K$10=TRUE,data!$I$4," ")," ")</f>
        <v>0.31818181818181818</v>
      </c>
      <c r="H6" s="101"/>
      <c r="I6" s="106" t="str">
        <f>IF(data!E37=1,"X"," ")</f>
        <v>X</v>
      </c>
      <c r="J6" s="59"/>
      <c r="K6" s="59"/>
      <c r="L6" s="59"/>
      <c r="M6" s="59"/>
      <c r="N6" s="59"/>
      <c r="O6" s="59"/>
      <c r="P6" s="59"/>
      <c r="Q6" s="59"/>
    </row>
    <row r="7" spans="1:17" ht="18" customHeight="1" thickTop="1" thickBot="1" x14ac:dyDescent="0.35">
      <c r="A7" s="107"/>
      <c r="B7" s="108" t="s">
        <v>34</v>
      </c>
      <c r="C7" s="109"/>
      <c r="D7" s="110" t="s">
        <v>65</v>
      </c>
      <c r="E7" s="111">
        <f>IF(data!$D$5=TRUE,data!$E$5," ")</f>
        <v>150</v>
      </c>
      <c r="F7" s="111">
        <f>IF(data!$D$5=TRUE,data!$F$5," ")</f>
        <v>140</v>
      </c>
      <c r="G7" s="112" t="s">
        <v>60</v>
      </c>
      <c r="H7" s="113"/>
      <c r="I7" s="59"/>
      <c r="J7" s="59"/>
      <c r="K7" s="59"/>
      <c r="L7" s="59"/>
      <c r="M7" s="59"/>
      <c r="N7" s="59"/>
      <c r="O7" s="59"/>
      <c r="P7" s="59"/>
      <c r="Q7" s="59"/>
    </row>
    <row r="8" spans="1:17" ht="15.6" x14ac:dyDescent="0.3">
      <c r="A8" s="18" t="s">
        <v>58</v>
      </c>
      <c r="B8" s="18"/>
      <c r="C8" s="18"/>
      <c r="D8" s="18"/>
      <c r="E8" s="18"/>
      <c r="F8" s="18"/>
      <c r="G8" s="18"/>
      <c r="H8" s="18"/>
      <c r="I8" s="59"/>
      <c r="J8" s="59"/>
      <c r="K8" s="59"/>
      <c r="L8" s="59"/>
      <c r="M8" s="59"/>
      <c r="N8" s="59"/>
      <c r="O8" s="59"/>
      <c r="P8" s="59"/>
      <c r="Q8" s="59"/>
    </row>
    <row r="9" spans="1:17" ht="15.6" x14ac:dyDescent="0.3">
      <c r="A9" s="21" t="s">
        <v>59</v>
      </c>
      <c r="B9" s="20" t="str">
        <f>IF(data!O7=TRUE,IF(data!I3&gt;data!I4,"Annie","Answer: Bob")," ")</f>
        <v>Annie</v>
      </c>
      <c r="C9" s="18"/>
      <c r="D9" s="18"/>
      <c r="E9" s="18"/>
      <c r="F9" s="18"/>
      <c r="G9" s="18"/>
      <c r="H9" s="18"/>
      <c r="I9" s="59"/>
      <c r="J9" s="59"/>
      <c r="K9" s="59"/>
      <c r="L9" s="59"/>
      <c r="M9" s="59"/>
      <c r="N9" s="59"/>
      <c r="O9" s="59"/>
      <c r="P9" s="59"/>
      <c r="Q9" s="59"/>
    </row>
    <row r="10" spans="1:17" ht="14.25" customHeight="1" x14ac:dyDescent="0.3">
      <c r="A10" s="18" t="s">
        <v>44</v>
      </c>
      <c r="B10" s="18"/>
      <c r="C10" s="18"/>
      <c r="D10" s="18"/>
      <c r="E10" s="18"/>
      <c r="F10" s="18"/>
      <c r="G10" s="18"/>
      <c r="H10" s="18"/>
      <c r="I10" s="59"/>
      <c r="J10" s="59"/>
      <c r="K10" s="59"/>
      <c r="L10" s="59"/>
      <c r="M10" s="59"/>
      <c r="N10" s="59"/>
      <c r="O10" s="59"/>
      <c r="P10" s="59"/>
      <c r="Q10" s="59"/>
    </row>
    <row r="11" spans="1:17" ht="15.6" x14ac:dyDescent="0.3">
      <c r="A11" s="18" t="s">
        <v>72</v>
      </c>
      <c r="B11" s="18"/>
      <c r="C11" s="21" t="s">
        <v>46</v>
      </c>
      <c r="D11" s="18"/>
      <c r="E11" s="18"/>
      <c r="F11" s="21" t="s">
        <v>45</v>
      </c>
      <c r="G11" s="18"/>
      <c r="H11" s="18"/>
      <c r="I11" s="59"/>
      <c r="J11" s="59"/>
      <c r="K11" s="59"/>
      <c r="L11" s="59"/>
      <c r="M11" s="59"/>
      <c r="N11" s="59"/>
      <c r="O11" s="59"/>
      <c r="P11" s="59"/>
      <c r="Q11" s="59"/>
    </row>
    <row r="12" spans="1:17" ht="16.5" customHeight="1" x14ac:dyDescent="0.3">
      <c r="B12" s="114" t="str">
        <f>IF(data!$O$4&gt;data!$E$4,data!$O$4-data!$E$4," ")</f>
        <v xml:space="preserve"> </v>
      </c>
      <c r="C12" s="18"/>
      <c r="D12" s="18"/>
      <c r="E12" s="18"/>
      <c r="F12" s="115">
        <f>IF(data!$O$3&gt;data!$E$3,data!$O$3-data!$E$3," ")</f>
        <v>10</v>
      </c>
      <c r="G12" s="18"/>
      <c r="H12" s="18"/>
      <c r="I12" s="59"/>
      <c r="J12" s="59"/>
      <c r="K12" s="59"/>
      <c r="L12" s="59"/>
      <c r="M12" s="59"/>
      <c r="N12" s="42" t="str">
        <f>IF(data!$N$11=1,"   A"," ")</f>
        <v xml:space="preserve"> </v>
      </c>
      <c r="O12" s="59"/>
      <c r="P12" s="59"/>
      <c r="Q12" s="59"/>
    </row>
    <row r="13" spans="1:17" ht="12.75" customHeight="1" x14ac:dyDescent="0.3">
      <c r="A13" s="18" t="s">
        <v>47</v>
      </c>
      <c r="B13" s="18"/>
      <c r="C13" s="18"/>
      <c r="D13" s="18"/>
      <c r="E13" s="18"/>
      <c r="F13" s="18"/>
      <c r="G13" s="18"/>
      <c r="H13" s="18"/>
      <c r="I13" s="59"/>
      <c r="J13" s="59"/>
      <c r="K13" s="59"/>
      <c r="L13" s="59"/>
      <c r="M13" s="59"/>
      <c r="N13" s="59"/>
      <c r="O13" s="59"/>
      <c r="P13" s="59"/>
      <c r="Q13" s="59"/>
    </row>
    <row r="14" spans="1:17" ht="17.25" customHeight="1" x14ac:dyDescent="0.3">
      <c r="A14" s="21" t="s">
        <v>59</v>
      </c>
      <c r="B14" s="116" t="str">
        <f>IF(data!$P$7=TRUE,"    This is approximately -Bob's MRS times X traded:"," ")</f>
        <v xml:space="preserve">    This is approximately -Bob's MRS times X traded:</v>
      </c>
      <c r="C14" s="18"/>
      <c r="D14" s="18"/>
      <c r="E14" s="18"/>
      <c r="F14" s="18"/>
      <c r="G14" s="117">
        <f>IF(data!$P$7=TRUE,data!$Q$4," ")</f>
        <v>3.5</v>
      </c>
      <c r="H14" s="117"/>
      <c r="I14" s="59"/>
      <c r="J14" s="59"/>
      <c r="K14" s="59"/>
      <c r="L14" s="59"/>
      <c r="M14" s="59"/>
      <c r="N14" s="59"/>
      <c r="O14" s="59"/>
      <c r="P14" s="59"/>
      <c r="Q14" s="59"/>
    </row>
    <row r="15" spans="1:17" ht="14.25" customHeight="1" x14ac:dyDescent="0.3">
      <c r="A15" s="18" t="s">
        <v>48</v>
      </c>
      <c r="B15" s="18"/>
      <c r="C15" s="18"/>
      <c r="D15" s="18"/>
      <c r="E15" s="18"/>
      <c r="F15" s="18"/>
      <c r="G15" s="18"/>
      <c r="H15" s="18"/>
      <c r="I15" s="59"/>
      <c r="J15" s="59"/>
      <c r="K15" s="59"/>
      <c r="L15" s="59"/>
      <c r="M15" s="42" t="str">
        <f>IF(data!$N$11=1,"  B"," ")</f>
        <v xml:space="preserve"> </v>
      </c>
      <c r="N15" s="59"/>
      <c r="O15" s="59"/>
      <c r="P15" s="59"/>
      <c r="Q15" s="59"/>
    </row>
    <row r="16" spans="1:17" ht="18" customHeight="1" x14ac:dyDescent="0.3">
      <c r="A16" s="21" t="s">
        <v>59</v>
      </c>
      <c r="B16" s="118">
        <f>IF(data!$Q$7=TRUE,data!$Q$3," ")</f>
        <v>21</v>
      </c>
      <c r="C16" s="18" t="str">
        <f>IF(data!Q7=TRUE,"Can such a trade occur in this instance?"," ")</f>
        <v>Can such a trade occur in this instance?</v>
      </c>
      <c r="D16" s="18"/>
      <c r="E16" s="18"/>
      <c r="F16" s="18"/>
      <c r="G16" s="18"/>
      <c r="H16" s="18"/>
      <c r="I16" s="59"/>
      <c r="J16" s="59"/>
      <c r="K16" s="59"/>
      <c r="L16" s="59"/>
      <c r="M16" s="59"/>
      <c r="N16" s="59"/>
      <c r="O16" s="59"/>
      <c r="P16" s="59"/>
      <c r="Q16" s="59"/>
    </row>
    <row r="17" spans="1:17" ht="17.25" customHeight="1" x14ac:dyDescent="0.3">
      <c r="A17" s="18"/>
      <c r="B17" s="21" t="str">
        <f>IF(data!Q7=TRUE,"A:     "," ")</f>
        <v xml:space="preserve">A:     </v>
      </c>
      <c r="D17" s="119" t="str">
        <f>IF(data!R7=TRUE,"Yes as long as"," ")</f>
        <v>Yes as long as</v>
      </c>
      <c r="E17" s="120">
        <f>IF(data!$R$7=TRUE,data!$Q$3," ")</f>
        <v>21</v>
      </c>
      <c r="F17" s="121" t="str">
        <f>IF(data!R7=TRUE,"&gt;"," ")</f>
        <v>&gt;</v>
      </c>
      <c r="G17" s="117">
        <f>IF(data!$R$7=TRUE,data!$Q$4," ")</f>
        <v>3.5</v>
      </c>
      <c r="H17" s="117"/>
      <c r="I17" s="59"/>
      <c r="J17" s="59"/>
      <c r="K17" s="59"/>
      <c r="L17" s="59"/>
      <c r="M17" s="59"/>
      <c r="N17" s="59"/>
      <c r="O17" s="59"/>
      <c r="P17" s="59"/>
      <c r="Q17" s="59"/>
    </row>
    <row r="18" spans="1:17" ht="15.6" x14ac:dyDescent="0.3">
      <c r="A18" s="18"/>
      <c r="B18" s="122" t="s">
        <v>49</v>
      </c>
      <c r="C18" s="18"/>
      <c r="D18" s="18"/>
      <c r="E18" s="18"/>
      <c r="F18" s="18"/>
      <c r="G18" s="18"/>
      <c r="H18" s="18"/>
      <c r="I18" s="59"/>
      <c r="J18" s="59"/>
      <c r="K18" s="59"/>
      <c r="L18" s="59"/>
      <c r="M18" s="59"/>
      <c r="N18" s="59"/>
      <c r="O18" s="59"/>
      <c r="P18" s="59"/>
      <c r="Q18" s="59"/>
    </row>
    <row r="19" spans="1:17" ht="15.6" x14ac:dyDescent="0.3">
      <c r="A19" s="18"/>
      <c r="B19" s="18" t="s">
        <v>50</v>
      </c>
      <c r="C19" s="18"/>
      <c r="D19" s="18"/>
      <c r="E19" s="18"/>
      <c r="F19" s="18"/>
      <c r="G19" s="18"/>
      <c r="H19" s="18"/>
      <c r="I19" s="59"/>
      <c r="J19" s="59"/>
      <c r="K19" s="59"/>
      <c r="L19" s="59"/>
      <c r="M19" s="59"/>
      <c r="N19" s="59"/>
      <c r="O19" s="59"/>
      <c r="P19" s="59"/>
      <c r="Q19" s="59"/>
    </row>
    <row r="20" spans="1:17" ht="14.25" customHeight="1" x14ac:dyDescent="0.3">
      <c r="A20" s="18"/>
      <c r="B20" s="21" t="str">
        <f>IF(data!$W$36=TRUE,"Annie is better at bargaining"," ")</f>
        <v>Annie is better at bargaining</v>
      </c>
      <c r="C20" s="18"/>
      <c r="D20" s="18"/>
      <c r="E20" s="18"/>
      <c r="G20" s="21" t="str">
        <f>IF(data!$W$36=TRUE,"Bob is better at bargaining"," ")</f>
        <v>Bob is better at bargaining</v>
      </c>
      <c r="H20" s="21"/>
      <c r="I20" s="59"/>
      <c r="J20" s="59"/>
      <c r="K20" s="59"/>
      <c r="L20" s="59"/>
      <c r="M20" s="59"/>
      <c r="N20" s="59"/>
      <c r="O20" s="59"/>
      <c r="P20" s="59"/>
      <c r="Q20" s="59"/>
    </row>
    <row r="21" spans="1:17" ht="21" x14ac:dyDescent="0.3">
      <c r="A21" s="18"/>
      <c r="B21" s="18"/>
      <c r="C21" s="18"/>
      <c r="D21" s="18"/>
      <c r="E21" s="18"/>
      <c r="F21" s="21" t="str">
        <f>IF(data!$W$36=TRUE,"Y traded:"," ")</f>
        <v>Y traded:</v>
      </c>
      <c r="G21" s="117">
        <f>IF(data!$W$36=TRUE,data!$W$39-data!$W$40," ")</f>
        <v>9.9749999999999943</v>
      </c>
      <c r="H21" s="117"/>
      <c r="I21" s="59"/>
      <c r="J21" s="59"/>
      <c r="K21" s="59"/>
      <c r="L21" s="59"/>
      <c r="M21" s="59"/>
      <c r="N21" s="59"/>
      <c r="O21" s="59"/>
      <c r="P21" s="59"/>
      <c r="Q21" s="59"/>
    </row>
    <row r="22" spans="1:17" ht="12.75" customHeight="1" thickBot="1" x14ac:dyDescent="0.35">
      <c r="A22" s="18" t="str">
        <f>IF(data!W36=TRUE,"Graphical representation of change in utility that results from this trade."," ")</f>
        <v>Graphical representation of change in utility that results from this trade.</v>
      </c>
      <c r="B22" s="18"/>
      <c r="C22" s="18"/>
      <c r="D22" s="18"/>
      <c r="E22" s="18"/>
      <c r="F22" s="18"/>
      <c r="G22" s="18"/>
      <c r="H22" s="18"/>
      <c r="I22" s="59"/>
      <c r="J22" s="59"/>
      <c r="K22" s="59"/>
      <c r="L22" s="59"/>
      <c r="M22" s="59"/>
      <c r="N22" s="59"/>
      <c r="O22" s="59"/>
      <c r="P22" s="59"/>
      <c r="Q22" s="123" t="str">
        <f>IF(data!$C$37=1,"X"," ")</f>
        <v>X</v>
      </c>
    </row>
    <row r="23" spans="1:17" ht="16.2" thickBot="1" x14ac:dyDescent="0.35">
      <c r="A23" s="18"/>
      <c r="B23" s="18" t="s">
        <v>51</v>
      </c>
      <c r="C23" s="18" t="s">
        <v>52</v>
      </c>
      <c r="D23" s="18"/>
      <c r="E23" s="124" t="s">
        <v>10</v>
      </c>
      <c r="F23" s="49" t="s">
        <v>35</v>
      </c>
      <c r="G23" s="125" t="s">
        <v>36</v>
      </c>
      <c r="H23" s="66"/>
      <c r="I23" s="59"/>
      <c r="J23" s="59"/>
      <c r="K23" s="59"/>
      <c r="L23" s="59"/>
      <c r="M23" s="59"/>
      <c r="N23" s="59"/>
      <c r="O23" s="59"/>
      <c r="P23" s="59"/>
      <c r="Q23" s="59"/>
    </row>
    <row r="24" spans="1:17" ht="17.25" customHeight="1" x14ac:dyDescent="0.3">
      <c r="A24" s="18"/>
      <c r="B24" s="18"/>
      <c r="C24" s="18"/>
      <c r="D24" s="48" t="s">
        <v>28</v>
      </c>
      <c r="E24" s="126">
        <f>IF(data!$S$7=TRUE,data!$O$3," ")</f>
        <v>50</v>
      </c>
      <c r="F24" s="126">
        <f>IF(data!$S$7=TRUE,data!$R$3," ")</f>
        <v>95.025000000000006</v>
      </c>
      <c r="G24" s="100">
        <f>IF(data!$S$7=TRUE,IF(data!$E$10=TRUE,data!$T$3," ")," ")</f>
        <v>1.9005000000000001</v>
      </c>
      <c r="H24" s="101"/>
      <c r="I24" s="59"/>
      <c r="J24" s="59"/>
      <c r="K24" s="59"/>
      <c r="L24" s="59"/>
      <c r="M24" s="59"/>
      <c r="N24" s="59"/>
      <c r="O24" s="59"/>
      <c r="P24" s="59"/>
      <c r="Q24" s="59"/>
    </row>
    <row r="25" spans="1:17" ht="17.25" customHeight="1" thickBot="1" x14ac:dyDescent="0.35">
      <c r="A25" s="18"/>
      <c r="B25" s="18"/>
      <c r="C25" s="18"/>
      <c r="D25" s="127" t="s">
        <v>31</v>
      </c>
      <c r="E25" s="128">
        <f>IF(data!$T$7=TRUE,data!$O$4," ")</f>
        <v>100</v>
      </c>
      <c r="F25" s="128">
        <f>IF(data!$T$7=TRUE,data!$R$4," ")</f>
        <v>44.974999999999994</v>
      </c>
      <c r="G25" s="129">
        <f>IF(data!$T$7=TRUE,IF(data!$M$10=TRUE,data!$T$4," ")," ")</f>
        <v>0.44974999999999993</v>
      </c>
      <c r="H25" s="101"/>
      <c r="N25" s="59"/>
      <c r="O25" s="59"/>
      <c r="P25" s="59"/>
      <c r="Q25" s="106" t="str">
        <f>IF(data!E37=1,"Y"," ")</f>
        <v>Y</v>
      </c>
    </row>
    <row r="26" spans="1:17" ht="15.75" customHeight="1" x14ac:dyDescent="0.3">
      <c r="A26" s="18" t="s">
        <v>57</v>
      </c>
      <c r="C26" s="18"/>
      <c r="D26" s="18"/>
      <c r="E26" s="18"/>
      <c r="F26" s="18"/>
      <c r="G26" s="18"/>
      <c r="H26" s="18"/>
      <c r="I26" s="130" t="str">
        <f>IF(data!C37=1,"Annie's Origin"," ")</f>
        <v>Annie's Origin</v>
      </c>
      <c r="J26" s="59"/>
      <c r="K26" s="59"/>
      <c r="N26" s="59"/>
      <c r="O26" s="59"/>
      <c r="P26" s="59"/>
      <c r="Q26" s="59"/>
    </row>
    <row r="27" spans="1:17" ht="13.5" customHeight="1" x14ac:dyDescent="0.3">
      <c r="A27" s="21" t="s">
        <v>59</v>
      </c>
      <c r="B27" s="18" t="str">
        <f>IF(data!U7=TRUE,"    Yes as long as their MRSs at the new bundle are not equal."," ")</f>
        <v xml:space="preserve"> </v>
      </c>
      <c r="C27" s="18"/>
      <c r="D27" s="18"/>
      <c r="E27" s="18"/>
      <c r="F27" s="18"/>
    </row>
    <row r="28" spans="1:17" ht="15.6" x14ac:dyDescent="0.3">
      <c r="A28" s="44" t="s">
        <v>133</v>
      </c>
      <c r="D28" s="18" t="s">
        <v>124</v>
      </c>
      <c r="K28" s="190" t="s">
        <v>139</v>
      </c>
      <c r="L28" s="191"/>
      <c r="M28" s="191"/>
      <c r="N28" s="191"/>
      <c r="O28" s="191"/>
      <c r="P28" s="191"/>
      <c r="Q28" s="191"/>
    </row>
    <row r="29" spans="1:17" ht="15.6" x14ac:dyDescent="0.3">
      <c r="B29" s="131"/>
      <c r="C29" s="18"/>
      <c r="D29" s="132"/>
      <c r="K29" s="188" t="s">
        <v>125</v>
      </c>
      <c r="L29" s="188"/>
      <c r="M29" s="188"/>
      <c r="N29" s="188"/>
      <c r="O29" s="188"/>
      <c r="P29" s="188"/>
      <c r="Q29" s="188"/>
    </row>
    <row r="30" spans="1:17" ht="15.6" x14ac:dyDescent="0.3">
      <c r="A30" s="18"/>
      <c r="B30" s="20"/>
      <c r="C30" s="18"/>
      <c r="I30" s="59"/>
      <c r="J30" s="59"/>
      <c r="K30" s="59"/>
      <c r="L30" s="59"/>
      <c r="M30" s="59"/>
      <c r="N30" s="59"/>
      <c r="O30" s="59"/>
      <c r="P30" s="59"/>
      <c r="Q30" s="59"/>
    </row>
    <row r="31" spans="1:17" ht="15.6" x14ac:dyDescent="0.3">
      <c r="A31" s="18"/>
      <c r="I31" s="59"/>
      <c r="J31" s="59"/>
      <c r="K31" s="59"/>
      <c r="L31" s="59"/>
      <c r="M31" s="59"/>
      <c r="N31" s="59"/>
      <c r="O31" s="59"/>
      <c r="P31" s="59"/>
      <c r="Q31" s="59"/>
    </row>
    <row r="32" spans="1:17" ht="15.6" x14ac:dyDescent="0.3">
      <c r="A32" s="18"/>
      <c r="B32" s="88"/>
      <c r="C32" s="59"/>
      <c r="D32" s="59"/>
      <c r="E32" s="59"/>
      <c r="F32" s="59"/>
      <c r="G32" s="59"/>
      <c r="H32" s="59"/>
    </row>
    <row r="33" spans="1:8" ht="15.6" x14ac:dyDescent="0.3">
      <c r="B33" s="59"/>
      <c r="E33" s="20"/>
    </row>
    <row r="34" spans="1:8" ht="15.6" x14ac:dyDescent="0.3">
      <c r="A34" s="59"/>
      <c r="B34" s="59"/>
      <c r="C34" s="18"/>
      <c r="D34" s="20"/>
      <c r="E34" s="20"/>
      <c r="F34" s="20"/>
      <c r="G34" s="20"/>
      <c r="H34" s="20"/>
    </row>
    <row r="35" spans="1:8" ht="15.6" x14ac:dyDescent="0.3">
      <c r="A35" s="59"/>
      <c r="B35" s="21"/>
      <c r="D35" s="76"/>
      <c r="E35" s="76"/>
      <c r="F35" s="89"/>
      <c r="G35" s="89"/>
      <c r="H35" s="89"/>
    </row>
    <row r="36" spans="1:8" ht="15.6" x14ac:dyDescent="0.3">
      <c r="A36" s="59"/>
      <c r="B36" s="21"/>
      <c r="D36" s="76"/>
      <c r="E36" s="76"/>
      <c r="F36" s="89"/>
      <c r="G36" s="89"/>
      <c r="H36" s="89"/>
    </row>
    <row r="37" spans="1:8" ht="15.6" x14ac:dyDescent="0.3">
      <c r="A37" s="59"/>
      <c r="B37" s="21"/>
      <c r="C37" s="21"/>
      <c r="D37" s="76"/>
      <c r="E37" s="76"/>
      <c r="F37" s="18"/>
      <c r="G37" s="18"/>
      <c r="H37" s="18"/>
    </row>
    <row r="38" spans="1:8" ht="15.6" x14ac:dyDescent="0.3">
      <c r="A38" s="59"/>
      <c r="B38" s="21"/>
      <c r="C38" s="21"/>
      <c r="D38" s="76"/>
      <c r="E38" s="76"/>
    </row>
  </sheetData>
  <sheetProtection algorithmName="SHA-512" hashValue="arkRdvSTY3J3qDs92K4CHzEWXmY/Q2uGkJF7elfRdTD4X8PsYdsKlCYaMDX+iSH3TqlMOQ/aEDpBqGL7ToW6wA==" saltValue="33U4xwzNMECcg/7VIqhAzg==" spinCount="100000" sheet="1"/>
  <mergeCells count="4">
    <mergeCell ref="E3:F3"/>
    <mergeCell ref="K29:Q29"/>
    <mergeCell ref="A1:Q1"/>
    <mergeCell ref="K28:Q28"/>
  </mergeCells>
  <phoneticPr fontId="0" type="noConversion"/>
  <hyperlinks>
    <hyperlink ref="K29:O29" location="data!A1" display="click to go to data worksheet"/>
    <hyperlink ref="K28:Q28" location="data!A1" display="click to go to data worksheet (to set up a figure from the text)"/>
  </hyperlinks>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22860</xdr:colOff>
                    <xdr:row>3</xdr:row>
                    <xdr:rowOff>0</xdr:rowOff>
                  </from>
                  <to>
                    <xdr:col>3</xdr:col>
                    <xdr:colOff>83820</xdr:colOff>
                    <xdr:row>4</xdr:row>
                    <xdr:rowOff>22860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22860</xdr:colOff>
                    <xdr:row>4</xdr:row>
                    <xdr:rowOff>0</xdr:rowOff>
                  </from>
                  <to>
                    <xdr:col>3</xdr:col>
                    <xdr:colOff>83820</xdr:colOff>
                    <xdr:row>5</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xdr:col>
                    <xdr:colOff>22860</xdr:colOff>
                    <xdr:row>6</xdr:row>
                    <xdr:rowOff>0</xdr:rowOff>
                  </from>
                  <to>
                    <xdr:col>3</xdr:col>
                    <xdr:colOff>83820</xdr:colOff>
                    <xdr:row>6</xdr:row>
                    <xdr:rowOff>220980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xdr:col>
                    <xdr:colOff>22860</xdr:colOff>
                    <xdr:row>5</xdr:row>
                    <xdr:rowOff>7620</xdr:rowOff>
                  </from>
                  <to>
                    <xdr:col>3</xdr:col>
                    <xdr:colOff>83820</xdr:colOff>
                    <xdr:row>6</xdr:row>
                    <xdr:rowOff>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0</xdr:col>
                    <xdr:colOff>213360</xdr:colOff>
                    <xdr:row>8</xdr:row>
                    <xdr:rowOff>0</xdr:rowOff>
                  </from>
                  <to>
                    <xdr:col>1</xdr:col>
                    <xdr:colOff>259080</xdr:colOff>
                    <xdr:row>9</xdr:row>
                    <xdr:rowOff>22860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0</xdr:col>
                    <xdr:colOff>38100</xdr:colOff>
                    <xdr:row>18</xdr:row>
                    <xdr:rowOff>0</xdr:rowOff>
                  </from>
                  <to>
                    <xdr:col>1</xdr:col>
                    <xdr:colOff>83820</xdr:colOff>
                    <xdr:row>19</xdr:row>
                    <xdr:rowOff>30480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0</xdr:col>
                    <xdr:colOff>38100</xdr:colOff>
                    <xdr:row>3</xdr:row>
                    <xdr:rowOff>0</xdr:rowOff>
                  </from>
                  <to>
                    <xdr:col>1</xdr:col>
                    <xdr:colOff>83820</xdr:colOff>
                    <xdr:row>4</xdr:row>
                    <xdr:rowOff>22860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0</xdr:col>
                    <xdr:colOff>38100</xdr:colOff>
                    <xdr:row>3</xdr:row>
                    <xdr:rowOff>190500</xdr:rowOff>
                  </from>
                  <to>
                    <xdr:col>1</xdr:col>
                    <xdr:colOff>83820</xdr:colOff>
                    <xdr:row>5</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0</xdr:col>
                    <xdr:colOff>38100</xdr:colOff>
                    <xdr:row>6</xdr:row>
                    <xdr:rowOff>22860</xdr:rowOff>
                  </from>
                  <to>
                    <xdr:col>1</xdr:col>
                    <xdr:colOff>83820</xdr:colOff>
                    <xdr:row>7</xdr:row>
                    <xdr:rowOff>7620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0</xdr:col>
                    <xdr:colOff>38100</xdr:colOff>
                    <xdr:row>5</xdr:row>
                    <xdr:rowOff>7620</xdr:rowOff>
                  </from>
                  <to>
                    <xdr:col>1</xdr:col>
                    <xdr:colOff>83820</xdr:colOff>
                    <xdr:row>6</xdr:row>
                    <xdr:rowOff>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0</xdr:col>
                    <xdr:colOff>38100</xdr:colOff>
                    <xdr:row>17</xdr:row>
                    <xdr:rowOff>0</xdr:rowOff>
                  </from>
                  <to>
                    <xdr:col>1</xdr:col>
                    <xdr:colOff>83820</xdr:colOff>
                    <xdr:row>18</xdr:row>
                    <xdr:rowOff>22860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1</xdr:col>
                    <xdr:colOff>1211580</xdr:colOff>
                    <xdr:row>22</xdr:row>
                    <xdr:rowOff>0</xdr:rowOff>
                  </from>
                  <to>
                    <xdr:col>2</xdr:col>
                    <xdr:colOff>137160</xdr:colOff>
                    <xdr:row>23</xdr:row>
                    <xdr:rowOff>7620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0</xdr:col>
                    <xdr:colOff>60960</xdr:colOff>
                    <xdr:row>22</xdr:row>
                    <xdr:rowOff>0</xdr:rowOff>
                  </from>
                  <to>
                    <xdr:col>1</xdr:col>
                    <xdr:colOff>106680</xdr:colOff>
                    <xdr:row>23</xdr:row>
                    <xdr:rowOff>7620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0</xdr:col>
                    <xdr:colOff>7620</xdr:colOff>
                    <xdr:row>26</xdr:row>
                    <xdr:rowOff>160020</xdr:rowOff>
                  </from>
                  <to>
                    <xdr:col>1</xdr:col>
                    <xdr:colOff>60960</xdr:colOff>
                    <xdr:row>28</xdr:row>
                    <xdr:rowOff>7620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3</xdr:col>
                    <xdr:colOff>480060</xdr:colOff>
                    <xdr:row>4</xdr:row>
                    <xdr:rowOff>0</xdr:rowOff>
                  </from>
                  <to>
                    <xdr:col>4</xdr:col>
                    <xdr:colOff>106680</xdr:colOff>
                    <xdr:row>5</xdr:row>
                    <xdr:rowOff>0</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3</xdr:col>
                    <xdr:colOff>480060</xdr:colOff>
                    <xdr:row>5</xdr:row>
                    <xdr:rowOff>22860</xdr:rowOff>
                  </from>
                  <to>
                    <xdr:col>4</xdr:col>
                    <xdr:colOff>106680</xdr:colOff>
                    <xdr:row>6</xdr:row>
                    <xdr:rowOff>7620</xdr:rowOff>
                  </to>
                </anchor>
              </controlPr>
            </control>
          </mc:Choice>
        </mc:AlternateContent>
        <mc:AlternateContent xmlns:mc="http://schemas.openxmlformats.org/markup-compatibility/2006">
          <mc:Choice Requires="x14">
            <control shapeId="4117" r:id="rId20" name="Check Box 21">
              <controlPr defaultSize="0" autoFill="0" autoLine="0" autoPict="0">
                <anchor moveWithCells="1">
                  <from>
                    <xdr:col>3</xdr:col>
                    <xdr:colOff>480060</xdr:colOff>
                    <xdr:row>6</xdr:row>
                    <xdr:rowOff>0</xdr:rowOff>
                  </from>
                  <to>
                    <xdr:col>4</xdr:col>
                    <xdr:colOff>106680</xdr:colOff>
                    <xdr:row>6</xdr:row>
                    <xdr:rowOff>220980</xdr:rowOff>
                  </to>
                </anchor>
              </controlPr>
            </control>
          </mc:Choice>
        </mc:AlternateContent>
        <mc:AlternateContent xmlns:mc="http://schemas.openxmlformats.org/markup-compatibility/2006">
          <mc:Choice Requires="x14">
            <control shapeId="4152" r:id="rId21" name="Scroll Bar 56">
              <controlPr defaultSize="0" autoPict="0">
                <anchor moveWithCells="1">
                  <from>
                    <xdr:col>2</xdr:col>
                    <xdr:colOff>22860</xdr:colOff>
                    <xdr:row>11</xdr:row>
                    <xdr:rowOff>0</xdr:rowOff>
                  </from>
                  <to>
                    <xdr:col>4</xdr:col>
                    <xdr:colOff>441960</xdr:colOff>
                    <xdr:row>11</xdr:row>
                    <xdr:rowOff>175260</xdr:rowOff>
                  </to>
                </anchor>
              </controlPr>
            </control>
          </mc:Choice>
        </mc:AlternateContent>
        <mc:AlternateContent xmlns:mc="http://schemas.openxmlformats.org/markup-compatibility/2006">
          <mc:Choice Requires="x14">
            <control shapeId="4153" r:id="rId22" name="Scroll Bar 57">
              <controlPr defaultSize="0" autoPict="0">
                <anchor moveWithCells="1">
                  <from>
                    <xdr:col>1</xdr:col>
                    <xdr:colOff>1112520</xdr:colOff>
                    <xdr:row>20</xdr:row>
                    <xdr:rowOff>0</xdr:rowOff>
                  </from>
                  <to>
                    <xdr:col>4</xdr:col>
                    <xdr:colOff>144780</xdr:colOff>
                    <xdr:row>21</xdr:row>
                    <xdr:rowOff>0</xdr:rowOff>
                  </to>
                </anchor>
              </controlPr>
            </control>
          </mc:Choice>
        </mc:AlternateContent>
        <mc:AlternateContent xmlns:mc="http://schemas.openxmlformats.org/markup-compatibility/2006">
          <mc:Choice Requires="x14">
            <control shapeId="4154" r:id="rId23" name="Check Box 58">
              <controlPr defaultSize="0" autoFill="0" autoLine="0" autoPict="0">
                <anchor moveWithCells="1">
                  <from>
                    <xdr:col>3</xdr:col>
                    <xdr:colOff>480060</xdr:colOff>
                    <xdr:row>23</xdr:row>
                    <xdr:rowOff>0</xdr:rowOff>
                  </from>
                  <to>
                    <xdr:col>4</xdr:col>
                    <xdr:colOff>106680</xdr:colOff>
                    <xdr:row>24</xdr:row>
                    <xdr:rowOff>0</xdr:rowOff>
                  </to>
                </anchor>
              </controlPr>
            </control>
          </mc:Choice>
        </mc:AlternateContent>
        <mc:AlternateContent xmlns:mc="http://schemas.openxmlformats.org/markup-compatibility/2006">
          <mc:Choice Requires="x14">
            <control shapeId="4155" r:id="rId24" name="Check Box 59">
              <controlPr defaultSize="0" autoFill="0" autoLine="0" autoPict="0">
                <anchor moveWithCells="1">
                  <from>
                    <xdr:col>3</xdr:col>
                    <xdr:colOff>480060</xdr:colOff>
                    <xdr:row>24</xdr:row>
                    <xdr:rowOff>0</xdr:rowOff>
                  </from>
                  <to>
                    <xdr:col>4</xdr:col>
                    <xdr:colOff>106680</xdr:colOff>
                    <xdr:row>25</xdr:row>
                    <xdr:rowOff>0</xdr:rowOff>
                  </to>
                </anchor>
              </controlPr>
            </control>
          </mc:Choice>
        </mc:AlternateContent>
        <mc:AlternateContent xmlns:mc="http://schemas.openxmlformats.org/markup-compatibility/2006">
          <mc:Choice Requires="x14">
            <control shapeId="4160" r:id="rId25" name="Check Box 64">
              <controlPr defaultSize="0" autoFill="0" autoLine="0" autoPict="0">
                <anchor moveWithCells="1">
                  <from>
                    <xdr:col>0</xdr:col>
                    <xdr:colOff>213360</xdr:colOff>
                    <xdr:row>13</xdr:row>
                    <xdr:rowOff>22860</xdr:rowOff>
                  </from>
                  <to>
                    <xdr:col>1</xdr:col>
                    <xdr:colOff>259080</xdr:colOff>
                    <xdr:row>14</xdr:row>
                    <xdr:rowOff>22860</xdr:rowOff>
                  </to>
                </anchor>
              </controlPr>
            </control>
          </mc:Choice>
        </mc:AlternateContent>
        <mc:AlternateContent xmlns:mc="http://schemas.openxmlformats.org/markup-compatibility/2006">
          <mc:Choice Requires="x14">
            <control shapeId="4161" r:id="rId26" name="Check Box 65">
              <controlPr defaultSize="0" autoFill="0" autoLine="0" autoPict="0">
                <anchor moveWithCells="1">
                  <from>
                    <xdr:col>0</xdr:col>
                    <xdr:colOff>213360</xdr:colOff>
                    <xdr:row>15</xdr:row>
                    <xdr:rowOff>30480</xdr:rowOff>
                  </from>
                  <to>
                    <xdr:col>1</xdr:col>
                    <xdr:colOff>259080</xdr:colOff>
                    <xdr:row>16</xdr:row>
                    <xdr:rowOff>22860</xdr:rowOff>
                  </to>
                </anchor>
              </controlPr>
            </control>
          </mc:Choice>
        </mc:AlternateContent>
        <mc:AlternateContent xmlns:mc="http://schemas.openxmlformats.org/markup-compatibility/2006">
          <mc:Choice Requires="x14">
            <control shapeId="4162" r:id="rId27" name="Check Box 66">
              <controlPr defaultSize="0" autoFill="0" autoLine="0" autoPict="0">
                <anchor moveWithCells="1">
                  <from>
                    <xdr:col>1</xdr:col>
                    <xdr:colOff>1181100</xdr:colOff>
                    <xdr:row>16</xdr:row>
                    <xdr:rowOff>0</xdr:rowOff>
                  </from>
                  <to>
                    <xdr:col>2</xdr:col>
                    <xdr:colOff>106680</xdr:colOff>
                    <xdr:row>17</xdr:row>
                    <xdr:rowOff>0</xdr:rowOff>
                  </to>
                </anchor>
              </controlPr>
            </control>
          </mc:Choice>
        </mc:AlternateContent>
        <mc:AlternateContent xmlns:mc="http://schemas.openxmlformats.org/markup-compatibility/2006">
          <mc:Choice Requires="x14">
            <control shapeId="4163" r:id="rId28" name="Check Box 67">
              <controlPr defaultSize="0" autoFill="0" autoLine="0" autoPict="0">
                <anchor moveWithCells="1">
                  <from>
                    <xdr:col>0</xdr:col>
                    <xdr:colOff>228600</xdr:colOff>
                    <xdr:row>25</xdr:row>
                    <xdr:rowOff>175260</xdr:rowOff>
                  </from>
                  <to>
                    <xdr:col>1</xdr:col>
                    <xdr:colOff>274320</xdr:colOff>
                    <xdr:row>27</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1"/>
  <sheetViews>
    <sheetView showGridLines="0" zoomScale="70" zoomScaleNormal="70" workbookViewId="0">
      <pane xSplit="1" ySplit="25" topLeftCell="F26" activePane="bottomRight" state="frozen"/>
      <selection pane="topRight" activeCell="B1" sqref="B1"/>
      <selection pane="bottomLeft" activeCell="A26" sqref="A26"/>
      <selection pane="bottomRight" activeCell="A24" sqref="A24"/>
    </sheetView>
  </sheetViews>
  <sheetFormatPr defaultColWidth="9.109375" defaultRowHeight="18" x14ac:dyDescent="0.35"/>
  <cols>
    <col min="1" max="1" width="136.44140625" style="1" customWidth="1"/>
    <col min="2" max="5" width="8.109375" style="148" customWidth="1"/>
    <col min="6" max="12" width="56.33203125" style="148" customWidth="1"/>
    <col min="13" max="13" width="8.109375" style="148" customWidth="1"/>
    <col min="14" max="31" width="0.44140625" style="148" customWidth="1"/>
    <col min="32" max="33" width="8.109375" style="144" customWidth="1"/>
    <col min="34" max="44" width="9.6640625" style="2" customWidth="1"/>
    <col min="45" max="16384" width="9.109375" style="2"/>
  </cols>
  <sheetData>
    <row r="1" spans="1:33" ht="20.25" customHeight="1" x14ac:dyDescent="0.3">
      <c r="A1" s="192" t="s">
        <v>145</v>
      </c>
      <c r="C1" s="148" t="s">
        <v>146</v>
      </c>
      <c r="O1" s="148" t="s">
        <v>39</v>
      </c>
      <c r="X1" s="154" t="s">
        <v>81</v>
      </c>
      <c r="Y1" s="155" t="s">
        <v>28</v>
      </c>
      <c r="Z1" s="156"/>
      <c r="AA1" s="157" t="s">
        <v>31</v>
      </c>
      <c r="AB1" s="153"/>
      <c r="AC1" s="155" t="s">
        <v>73</v>
      </c>
      <c r="AE1" s="153"/>
      <c r="AF1" s="144" t="s">
        <v>125</v>
      </c>
    </row>
    <row r="2" spans="1:33" ht="20.25" customHeight="1" x14ac:dyDescent="0.3">
      <c r="A2" s="192"/>
      <c r="C2" s="148" t="s">
        <v>0</v>
      </c>
      <c r="D2" s="151" t="s">
        <v>42</v>
      </c>
      <c r="E2" s="148" t="s">
        <v>3</v>
      </c>
      <c r="F2" s="148" t="s">
        <v>4</v>
      </c>
      <c r="G2" s="148" t="s">
        <v>5</v>
      </c>
      <c r="H2" s="148" t="s">
        <v>7</v>
      </c>
      <c r="I2" s="148" t="s">
        <v>8</v>
      </c>
      <c r="O2" s="148" t="s">
        <v>3</v>
      </c>
      <c r="P2" s="148" t="s">
        <v>63</v>
      </c>
      <c r="Q2" s="148" t="s">
        <v>41</v>
      </c>
      <c r="R2" s="148" t="s">
        <v>53</v>
      </c>
      <c r="S2" s="148" t="s">
        <v>54</v>
      </c>
      <c r="T2" s="148" t="s">
        <v>56</v>
      </c>
      <c r="Y2" s="153"/>
      <c r="Z2" s="156" t="s">
        <v>30</v>
      </c>
      <c r="AA2" s="158"/>
      <c r="AB2" s="158"/>
      <c r="AC2" s="156" t="s">
        <v>10</v>
      </c>
      <c r="AD2" s="156" t="s">
        <v>35</v>
      </c>
      <c r="AE2" s="156" t="s">
        <v>36</v>
      </c>
      <c r="AF2" s="144" t="s">
        <v>125</v>
      </c>
    </row>
    <row r="3" spans="1:33" ht="11.25" customHeight="1" x14ac:dyDescent="0.35">
      <c r="C3" s="148" t="s">
        <v>1</v>
      </c>
      <c r="D3" s="149" t="b">
        <v>1</v>
      </c>
      <c r="E3" s="148">
        <v>40</v>
      </c>
      <c r="F3" s="148">
        <v>105</v>
      </c>
      <c r="G3" s="148">
        <v>0.5</v>
      </c>
      <c r="H3" s="148">
        <f>E3^G3*F3^(1-G3)</f>
        <v>64.807406984078597</v>
      </c>
      <c r="I3" s="148">
        <f>G3/(1-G3)*F3/E3</f>
        <v>2.625</v>
      </c>
      <c r="O3" s="152">
        <f>E7/10</f>
        <v>50</v>
      </c>
      <c r="P3" s="148">
        <f>($H$3*$O3^-$G$3)^(1/(1-$G$3))</f>
        <v>84</v>
      </c>
      <c r="Q3" s="148">
        <f>F3-P3</f>
        <v>21</v>
      </c>
      <c r="R3" s="148">
        <f>(P5-P4)*(200-E8)/200+P3*E8/200</f>
        <v>95.025000000000006</v>
      </c>
      <c r="S3" s="148">
        <f>O3^G3*R3^(1-G3)</f>
        <v>68.929311617047219</v>
      </c>
      <c r="T3" s="148">
        <f>G3/(1-G3)*R3/O3</f>
        <v>1.9005000000000001</v>
      </c>
      <c r="Y3" s="158"/>
      <c r="Z3" s="156" t="s">
        <v>32</v>
      </c>
      <c r="AA3" s="158"/>
      <c r="AB3" s="155" t="s">
        <v>28</v>
      </c>
      <c r="AC3" s="156">
        <f>IF(data!$D$3=TRUE,data!$E$3," ")</f>
        <v>40</v>
      </c>
      <c r="AD3" s="156">
        <f>IF(data!$D$3=TRUE,data!$F$3," ")</f>
        <v>105</v>
      </c>
      <c r="AE3" s="159">
        <f>IF(data!$D$3=TRUE,IF(data!$C$10=TRUE,data!$I$3," ")," ")</f>
        <v>2.625</v>
      </c>
      <c r="AF3" s="144" t="s">
        <v>125</v>
      </c>
    </row>
    <row r="4" spans="1:33" ht="15.6" x14ac:dyDescent="0.3">
      <c r="A4" s="19" t="s">
        <v>143</v>
      </c>
      <c r="C4" s="148" t="s">
        <v>2</v>
      </c>
      <c r="D4" s="149" t="b">
        <v>1</v>
      </c>
      <c r="E4" s="148">
        <f>E5-E3</f>
        <v>110</v>
      </c>
      <c r="F4" s="148">
        <f>F5-F3</f>
        <v>35</v>
      </c>
      <c r="G4" s="148">
        <v>0.5</v>
      </c>
      <c r="H4" s="148">
        <f>E4^G4*F4^(1-G4)</f>
        <v>62.048368229954285</v>
      </c>
      <c r="I4" s="148">
        <f>G4/(1-G4)*F4/E4</f>
        <v>0.31818181818181818</v>
      </c>
      <c r="O4" s="148">
        <f>O5-O3</f>
        <v>100</v>
      </c>
      <c r="P4" s="148">
        <f>($H$4*$O4^-$G$4)^(1/(1-$G$4))</f>
        <v>38.5</v>
      </c>
      <c r="Q4" s="148">
        <f>P4-F4</f>
        <v>3.5</v>
      </c>
      <c r="R4" s="148">
        <f>P5-R3</f>
        <v>44.974999999999994</v>
      </c>
      <c r="S4" s="148">
        <f>O4^G4*R4^(1-G4)</f>
        <v>67.063402836420394</v>
      </c>
      <c r="T4" s="148">
        <f>G4/(1-G4)*R4/O4</f>
        <v>0.44974999999999993</v>
      </c>
      <c r="Y4" s="158"/>
      <c r="Z4" s="156" t="s">
        <v>33</v>
      </c>
      <c r="AA4" s="158"/>
      <c r="AB4" s="155" t="s">
        <v>64</v>
      </c>
      <c r="AC4" s="156">
        <f>IF(data!$D$4=TRUE,data!$E$4," ")</f>
        <v>110</v>
      </c>
      <c r="AD4" s="156">
        <f>IF(data!$D$4=TRUE,data!$F$4," ")</f>
        <v>35</v>
      </c>
      <c r="AE4" s="159">
        <f>IF(data!$D$4=TRUE,IF(data!$K$10=TRUE,data!$I$4," ")," ")</f>
        <v>0.31818181818181818</v>
      </c>
      <c r="AF4" s="144" t="s">
        <v>125</v>
      </c>
    </row>
    <row r="5" spans="1:33" s="141" customFormat="1" ht="11.25" customHeight="1" thickBot="1" x14ac:dyDescent="0.4">
      <c r="A5" s="140"/>
      <c r="B5" s="160"/>
      <c r="C5" s="160" t="s">
        <v>6</v>
      </c>
      <c r="D5" s="161" t="b">
        <v>1</v>
      </c>
      <c r="E5" s="160">
        <v>150</v>
      </c>
      <c r="F5" s="160">
        <v>140</v>
      </c>
      <c r="G5" s="160"/>
      <c r="H5" s="160"/>
      <c r="I5" s="160"/>
      <c r="J5" s="162"/>
      <c r="K5" s="160"/>
      <c r="L5" s="160"/>
      <c r="M5" s="160"/>
      <c r="N5" s="160"/>
      <c r="O5" s="160">
        <f>E5</f>
        <v>150</v>
      </c>
      <c r="P5" s="160">
        <f>F5</f>
        <v>140</v>
      </c>
      <c r="Q5" s="160"/>
      <c r="R5" s="160"/>
      <c r="S5" s="160"/>
      <c r="T5" s="160"/>
      <c r="U5" s="160"/>
      <c r="V5" s="160"/>
      <c r="W5" s="160"/>
      <c r="X5" s="160"/>
      <c r="Y5" s="163"/>
      <c r="Z5" s="164" t="s">
        <v>34</v>
      </c>
      <c r="AA5" s="163"/>
      <c r="AB5" s="165" t="s">
        <v>65</v>
      </c>
      <c r="AC5" s="164">
        <f>IF(data!$D$5=TRUE,data!$E$5," ")</f>
        <v>150</v>
      </c>
      <c r="AD5" s="164">
        <f>IF(data!$D$5=TRUE,data!$F$5," ")</f>
        <v>140</v>
      </c>
      <c r="AE5" s="164" t="s">
        <v>60</v>
      </c>
      <c r="AF5" s="146" t="s">
        <v>125</v>
      </c>
      <c r="AG5" s="146"/>
    </row>
    <row r="6" spans="1:33" ht="17.25" customHeight="1" x14ac:dyDescent="0.35">
      <c r="A6" s="1" t="s">
        <v>138</v>
      </c>
      <c r="E6" s="148">
        <v>40</v>
      </c>
      <c r="J6" s="154"/>
      <c r="O6" s="151" t="s">
        <v>68</v>
      </c>
      <c r="P6" s="151" t="s">
        <v>61</v>
      </c>
      <c r="Q6" s="151" t="s">
        <v>62</v>
      </c>
      <c r="R6" s="151" t="s">
        <v>69</v>
      </c>
      <c r="S6" s="151" t="s">
        <v>66</v>
      </c>
      <c r="T6" s="151" t="s">
        <v>67</v>
      </c>
      <c r="U6" s="151" t="s">
        <v>70</v>
      </c>
      <c r="V6" s="151" t="s">
        <v>119</v>
      </c>
      <c r="Y6" s="158" t="s">
        <v>148</v>
      </c>
      <c r="Z6" s="158"/>
      <c r="AA6" s="158"/>
      <c r="AB6" s="158"/>
      <c r="AC6" s="158"/>
      <c r="AD6" s="158"/>
      <c r="AE6" s="158"/>
      <c r="AF6" s="144" t="s">
        <v>125</v>
      </c>
    </row>
    <row r="7" spans="1:33" ht="18.75" customHeight="1" x14ac:dyDescent="0.3">
      <c r="A7" s="193" t="s">
        <v>149</v>
      </c>
      <c r="E7" s="149">
        <v>500</v>
      </c>
      <c r="F7" s="148" t="s">
        <v>40</v>
      </c>
      <c r="J7" s="151"/>
      <c r="O7" s="149" t="b">
        <v>1</v>
      </c>
      <c r="P7" s="150" t="b">
        <v>1</v>
      </c>
      <c r="Q7" s="150" t="b">
        <v>1</v>
      </c>
      <c r="R7" s="150" t="b">
        <v>1</v>
      </c>
      <c r="S7" s="149" t="b">
        <v>1</v>
      </c>
      <c r="T7" s="149" t="b">
        <v>1</v>
      </c>
      <c r="U7" s="149" t="b">
        <v>0</v>
      </c>
      <c r="V7" s="149" t="s">
        <v>125</v>
      </c>
      <c r="Y7" s="157" t="s">
        <v>59</v>
      </c>
      <c r="Z7" s="156" t="str">
        <f>IF(data!$O$7=TRUE,IF(data!AE3&gt;data!AE4,"Annie","Answer: Bob")," ")</f>
        <v>Annie</v>
      </c>
      <c r="AA7" s="158"/>
      <c r="AB7" s="158"/>
      <c r="AC7" s="158"/>
      <c r="AD7" s="158"/>
      <c r="AE7" s="158"/>
      <c r="AF7" s="144" t="s">
        <v>125</v>
      </c>
    </row>
    <row r="8" spans="1:33" ht="18.75" customHeight="1" x14ac:dyDescent="0.3">
      <c r="A8" s="193"/>
      <c r="B8" s="166" t="s">
        <v>9</v>
      </c>
      <c r="C8" s="166">
        <f>1500/E5</f>
        <v>10</v>
      </c>
      <c r="E8" s="149">
        <v>74</v>
      </c>
      <c r="F8" s="148" t="s">
        <v>55</v>
      </c>
      <c r="J8" s="167"/>
      <c r="Y8" s="158" t="s">
        <v>44</v>
      </c>
      <c r="Z8" s="158"/>
      <c r="AA8" s="158"/>
      <c r="AB8" s="158"/>
      <c r="AC8" s="158"/>
      <c r="AD8" s="158"/>
      <c r="AE8" s="158"/>
      <c r="AF8" s="144" t="s">
        <v>125</v>
      </c>
    </row>
    <row r="9" spans="1:33" ht="18.75" customHeight="1" x14ac:dyDescent="0.3">
      <c r="A9" s="193"/>
      <c r="C9" s="151" t="s">
        <v>42</v>
      </c>
      <c r="D9" s="151"/>
      <c r="E9" s="151" t="s">
        <v>2</v>
      </c>
      <c r="F9" s="151" t="s">
        <v>82</v>
      </c>
      <c r="G9" s="151"/>
      <c r="H9" s="151" t="s">
        <v>82</v>
      </c>
      <c r="I9" s="151" t="s">
        <v>85</v>
      </c>
      <c r="J9" s="151"/>
      <c r="K9" s="151" t="s">
        <v>42</v>
      </c>
      <c r="L9" s="151"/>
      <c r="M9" s="151" t="s">
        <v>2</v>
      </c>
      <c r="N9" s="151" t="s">
        <v>42</v>
      </c>
      <c r="Y9" s="158" t="s">
        <v>94</v>
      </c>
      <c r="AA9" s="156" t="s">
        <v>46</v>
      </c>
      <c r="AC9" s="158"/>
      <c r="AE9" s="157" t="s">
        <v>45</v>
      </c>
      <c r="AF9" s="144" t="s">
        <v>125</v>
      </c>
    </row>
    <row r="10" spans="1:33" s="141" customFormat="1" ht="18.600000000000001" thickBot="1" x14ac:dyDescent="0.4">
      <c r="A10" s="140"/>
      <c r="B10" s="168" t="s">
        <v>27</v>
      </c>
      <c r="C10" s="161" t="b">
        <v>1</v>
      </c>
      <c r="D10" s="160"/>
      <c r="E10" s="161" t="b">
        <v>1</v>
      </c>
      <c r="F10" s="161" t="b">
        <v>1</v>
      </c>
      <c r="G10" s="160"/>
      <c r="H10" s="161" t="b">
        <v>1</v>
      </c>
      <c r="I10" s="161" t="b">
        <v>1</v>
      </c>
      <c r="J10" s="160"/>
      <c r="K10" s="161" t="b">
        <v>1</v>
      </c>
      <c r="L10" s="160"/>
      <c r="M10" s="161" t="b">
        <v>1</v>
      </c>
      <c r="N10" s="161" t="b">
        <v>0</v>
      </c>
      <c r="O10" s="160"/>
      <c r="P10" s="160"/>
      <c r="Q10" s="160"/>
      <c r="R10" s="160"/>
      <c r="S10" s="160"/>
      <c r="T10" s="160"/>
      <c r="U10" s="160"/>
      <c r="V10" s="160"/>
      <c r="W10" s="160"/>
      <c r="X10" s="160"/>
      <c r="Y10" s="160"/>
      <c r="Z10" s="169" t="str">
        <f>IF(data!$O$4&gt;data!$E$4,data!$O$4-data!$E$4," ")</f>
        <v xml:space="preserve"> </v>
      </c>
      <c r="AA10" s="160"/>
      <c r="AB10" s="163"/>
      <c r="AC10" s="163"/>
      <c r="AD10" s="160"/>
      <c r="AE10" s="170">
        <f>IF(data!$O$3&gt;data!$E$3,data!$O$3-data!$E$3," ")</f>
        <v>10</v>
      </c>
      <c r="AF10" s="146" t="s">
        <v>125</v>
      </c>
      <c r="AG10" s="146"/>
    </row>
    <row r="11" spans="1:33" s="5" customFormat="1" x14ac:dyDescent="0.35">
      <c r="A11" s="138" t="s">
        <v>135</v>
      </c>
      <c r="B11" s="154" t="s">
        <v>11</v>
      </c>
      <c r="C11" s="151">
        <f t="shared" ref="C11:N11" si="0">IF(C10=TRUE,1,0)</f>
        <v>1</v>
      </c>
      <c r="D11" s="151"/>
      <c r="E11" s="151">
        <f t="shared" si="0"/>
        <v>1</v>
      </c>
      <c r="F11" s="151">
        <f t="shared" si="0"/>
        <v>1</v>
      </c>
      <c r="G11" s="151"/>
      <c r="H11" s="151">
        <f t="shared" si="0"/>
        <v>1</v>
      </c>
      <c r="I11" s="151">
        <f t="shared" si="0"/>
        <v>1</v>
      </c>
      <c r="J11" s="151"/>
      <c r="K11" s="151">
        <f t="shared" si="0"/>
        <v>1</v>
      </c>
      <c r="L11" s="151"/>
      <c r="M11" s="151">
        <f t="shared" si="0"/>
        <v>1</v>
      </c>
      <c r="N11" s="151">
        <f t="shared" si="0"/>
        <v>0</v>
      </c>
      <c r="O11" s="148"/>
      <c r="P11" s="148"/>
      <c r="Q11" s="148"/>
      <c r="R11" s="148"/>
      <c r="S11" s="148"/>
      <c r="T11" s="148"/>
      <c r="U11" s="148"/>
      <c r="V11" s="148"/>
      <c r="W11" s="148"/>
      <c r="X11" s="148"/>
      <c r="Y11" s="158" t="s">
        <v>47</v>
      </c>
      <c r="Z11" s="158"/>
      <c r="AA11" s="158"/>
      <c r="AB11" s="158"/>
      <c r="AC11" s="158"/>
      <c r="AD11" s="158"/>
      <c r="AE11" s="158"/>
      <c r="AF11" s="144" t="s">
        <v>125</v>
      </c>
      <c r="AG11" s="144"/>
    </row>
    <row r="12" spans="1:33" ht="15.75" customHeight="1" x14ac:dyDescent="0.35">
      <c r="A12" s="139" t="s">
        <v>140</v>
      </c>
      <c r="B12" s="148" t="s">
        <v>10</v>
      </c>
      <c r="C12" s="148" t="s">
        <v>12</v>
      </c>
      <c r="E12" s="148" t="s">
        <v>38</v>
      </c>
      <c r="F12" s="148" t="s">
        <v>25</v>
      </c>
      <c r="H12" s="148" t="s">
        <v>26</v>
      </c>
      <c r="I12" s="148" t="s">
        <v>86</v>
      </c>
      <c r="K12" s="148" t="s">
        <v>147</v>
      </c>
      <c r="M12" s="148" t="s">
        <v>37</v>
      </c>
      <c r="N12" s="148" t="s">
        <v>17</v>
      </c>
      <c r="Y12" s="157" t="s">
        <v>59</v>
      </c>
      <c r="Z12" s="171" t="str">
        <f>IF(data!$P$7=TRUE,"    This is approximately -Bob's MRS times X traded:"," ")</f>
        <v xml:space="preserve">    This is approximately -Bob's MRS times X traded:</v>
      </c>
      <c r="AA12" s="158"/>
      <c r="AB12" s="158"/>
      <c r="AC12" s="158"/>
      <c r="AD12" s="158"/>
      <c r="AE12" s="172">
        <f>IF(data!$P$7=TRUE,data!$Q$4," ")</f>
        <v>3.5</v>
      </c>
      <c r="AF12" s="144" t="s">
        <v>125</v>
      </c>
    </row>
    <row r="13" spans="1:33" x14ac:dyDescent="0.35">
      <c r="A13" s="139" t="s">
        <v>150</v>
      </c>
      <c r="B13" s="148">
        <v>-20</v>
      </c>
      <c r="K13" s="148">
        <f t="shared" ref="K13:K31" si="1">$K$11*($F$5-($H$4*(150-$B13)^-$G$4)^(1/(1-$G$4)))</f>
        <v>117.35294117647059</v>
      </c>
      <c r="M13" s="148">
        <f t="shared" ref="M13:M31" si="2">$M$11*($F$5-($S$4*(150-$B13)^-$G$4)^(1/(1-$G$4)))</f>
        <v>113.54411764705884</v>
      </c>
      <c r="Y13" s="158" t="s">
        <v>48</v>
      </c>
      <c r="Z13" s="158"/>
      <c r="AA13" s="158"/>
      <c r="AB13" s="158"/>
      <c r="AC13" s="158"/>
      <c r="AD13" s="158"/>
      <c r="AE13" s="158"/>
      <c r="AF13" s="144" t="s">
        <v>125</v>
      </c>
    </row>
    <row r="14" spans="1:33" s="5" customFormat="1" ht="15.6" x14ac:dyDescent="0.3">
      <c r="A14" s="16" t="s">
        <v>132</v>
      </c>
      <c r="B14" s="148">
        <v>-10</v>
      </c>
      <c r="C14" s="148"/>
      <c r="D14" s="148"/>
      <c r="E14" s="148"/>
      <c r="F14" s="148"/>
      <c r="G14" s="148"/>
      <c r="H14" s="148"/>
      <c r="I14" s="148"/>
      <c r="J14" s="148"/>
      <c r="K14" s="148">
        <f t="shared" si="1"/>
        <v>115.9375</v>
      </c>
      <c r="L14" s="148"/>
      <c r="M14" s="148">
        <f t="shared" si="2"/>
        <v>111.890625</v>
      </c>
      <c r="N14" s="148"/>
      <c r="O14" s="148"/>
      <c r="P14" s="148"/>
      <c r="Q14" s="148"/>
      <c r="R14" s="148"/>
      <c r="S14" s="148"/>
      <c r="T14" s="148"/>
      <c r="U14" s="148"/>
      <c r="V14" s="148"/>
      <c r="W14" s="148"/>
      <c r="X14" s="148"/>
      <c r="Y14" s="157" t="s">
        <v>59</v>
      </c>
      <c r="Z14" s="173">
        <f>IF(data!$Q$7=TRUE,data!$Q$3," ")</f>
        <v>21</v>
      </c>
      <c r="AA14" s="158" t="str">
        <f>IF(data!Q7=TRUE,"Can such a trade occur in this instance?"," ")</f>
        <v>Can such a trade occur in this instance?</v>
      </c>
      <c r="AB14" s="158"/>
      <c r="AC14" s="158"/>
      <c r="AD14" s="158"/>
      <c r="AE14" s="158"/>
      <c r="AF14" s="144" t="s">
        <v>125</v>
      </c>
      <c r="AG14" s="144"/>
    </row>
    <row r="15" spans="1:33" s="141" customFormat="1" ht="13.5" customHeight="1" thickBot="1" x14ac:dyDescent="0.4">
      <c r="A15" s="140"/>
      <c r="B15" s="160">
        <v>0</v>
      </c>
      <c r="C15" s="160"/>
      <c r="D15" s="160"/>
      <c r="E15" s="160"/>
      <c r="F15" s="160"/>
      <c r="G15" s="160"/>
      <c r="H15" s="160"/>
      <c r="I15" s="160"/>
      <c r="J15" s="160"/>
      <c r="K15" s="160">
        <f t="shared" si="1"/>
        <v>114.33333333333333</v>
      </c>
      <c r="L15" s="160"/>
      <c r="M15" s="160">
        <f t="shared" si="2"/>
        <v>110.01666666666668</v>
      </c>
      <c r="N15" s="160">
        <f t="shared" ref="N15:N32" si="3">$N$11*($G$4*(1-$G$3)*$F$5*B15/($G$3*(1-$G$4)*($E$5-B15)+$G$4*(1-$G$3)*B15))</f>
        <v>0</v>
      </c>
      <c r="O15" s="160"/>
      <c r="P15" s="160"/>
      <c r="Q15" s="160"/>
      <c r="R15" s="160"/>
      <c r="S15" s="160"/>
      <c r="T15" s="160"/>
      <c r="U15" s="160"/>
      <c r="V15" s="160"/>
      <c r="W15" s="160"/>
      <c r="X15" s="160"/>
      <c r="Y15" s="163"/>
      <c r="Z15" s="174" t="s">
        <v>71</v>
      </c>
      <c r="AA15" s="160"/>
      <c r="AB15" s="175" t="str">
        <f>IF(data!R7=TRUE,"Yes as long as"," ")</f>
        <v>Yes as long as</v>
      </c>
      <c r="AC15" s="176">
        <f>IF(data!$R$7=TRUE,data!$Q$3," ")</f>
        <v>21</v>
      </c>
      <c r="AD15" s="164" t="str">
        <f>IF(data!R7=TRUE,"&gt;"," ")</f>
        <v>&gt;</v>
      </c>
      <c r="AE15" s="177">
        <f>IF(data!$R$7=TRUE,data!$Q$4," ")</f>
        <v>3.5</v>
      </c>
      <c r="AF15" s="146" t="s">
        <v>125</v>
      </c>
      <c r="AG15" s="146"/>
    </row>
    <row r="16" spans="1:33" s="5" customFormat="1" ht="17.25" customHeight="1" x14ac:dyDescent="0.35">
      <c r="A16" s="138" t="s">
        <v>118</v>
      </c>
      <c r="B16" s="148">
        <f>B15+$C$8/2</f>
        <v>5</v>
      </c>
      <c r="C16" s="148">
        <f t="shared" ref="C16:C34" si="4">$C$11*($H$3*$B16^-$G$3)^(1/(1-$G$3))</f>
        <v>839.99999999999977</v>
      </c>
      <c r="D16" s="148"/>
      <c r="E16" s="148">
        <f t="shared" ref="E16:E34" si="5">$E$11*($S$3*$B16^-$G$3)^(1/(1-$G$3))</f>
        <v>950.25000000000011</v>
      </c>
      <c r="F16" s="148">
        <f t="shared" ref="F16:F34" si="6">$F$11*($H$3*$B16^-$G$3)^(1/(1-$G$3))</f>
        <v>839.99999999999977</v>
      </c>
      <c r="G16" s="148"/>
      <c r="H16" s="148">
        <f t="shared" ref="H16:H34" si="7">$H$11*($H$4*$B16^-$G$4)^(1/(1-$G$4))</f>
        <v>770</v>
      </c>
      <c r="I16" s="148">
        <f t="shared" ref="I16:I34" si="8">$I$11*($S$4*$B16^-$G$4)^(1/(1-$G$4))</f>
        <v>899.49999999999966</v>
      </c>
      <c r="J16" s="148"/>
      <c r="K16" s="148">
        <f t="shared" si="1"/>
        <v>113.44827586206897</v>
      </c>
      <c r="L16" s="148"/>
      <c r="M16" s="148">
        <f t="shared" si="2"/>
        <v>108.98275862068965</v>
      </c>
      <c r="N16" s="148">
        <f t="shared" si="3"/>
        <v>0</v>
      </c>
      <c r="O16" s="148"/>
      <c r="P16" s="148"/>
      <c r="Q16" s="148"/>
      <c r="R16" s="148"/>
      <c r="S16" s="148"/>
      <c r="T16" s="148"/>
      <c r="U16" s="148"/>
      <c r="V16" s="148"/>
      <c r="W16" s="148"/>
      <c r="X16" s="148"/>
      <c r="Y16" s="158"/>
      <c r="Z16" s="178" t="s">
        <v>49</v>
      </c>
      <c r="AA16" s="158"/>
      <c r="AB16" s="158"/>
      <c r="AC16" s="158"/>
      <c r="AD16" s="158"/>
      <c r="AE16" s="158"/>
      <c r="AF16" s="144" t="s">
        <v>125</v>
      </c>
      <c r="AG16" s="144"/>
    </row>
    <row r="17" spans="1:33" x14ac:dyDescent="0.35">
      <c r="A17" s="139" t="s">
        <v>141</v>
      </c>
      <c r="B17" s="148">
        <f>B16+$C$8/2</f>
        <v>10</v>
      </c>
      <c r="C17" s="148">
        <f t="shared" si="4"/>
        <v>419.99999999999994</v>
      </c>
      <c r="E17" s="148">
        <f t="shared" si="5"/>
        <v>475.12500000000006</v>
      </c>
      <c r="F17" s="148">
        <f t="shared" si="6"/>
        <v>419.99999999999994</v>
      </c>
      <c r="H17" s="148">
        <f t="shared" si="7"/>
        <v>385.00000000000011</v>
      </c>
      <c r="I17" s="148">
        <f t="shared" si="8"/>
        <v>449.75</v>
      </c>
      <c r="K17" s="148">
        <f t="shared" si="1"/>
        <v>112.5</v>
      </c>
      <c r="M17" s="148">
        <f t="shared" si="2"/>
        <v>107.875</v>
      </c>
      <c r="N17" s="148">
        <f t="shared" si="3"/>
        <v>0</v>
      </c>
      <c r="Y17" s="158"/>
      <c r="Z17" s="158" t="s">
        <v>50</v>
      </c>
      <c r="AA17" s="158"/>
      <c r="AB17" s="158"/>
      <c r="AC17" s="158"/>
      <c r="AD17" s="158"/>
      <c r="AE17" s="158"/>
      <c r="AF17" s="144" t="s">
        <v>125</v>
      </c>
    </row>
    <row r="18" spans="1:33" x14ac:dyDescent="0.35">
      <c r="A18" s="139" t="s">
        <v>151</v>
      </c>
      <c r="B18" s="148">
        <f t="shared" ref="B18:B30" si="9">B17+$C$8</f>
        <v>20</v>
      </c>
      <c r="C18" s="148">
        <f t="shared" si="4"/>
        <v>209.99999999999994</v>
      </c>
      <c r="E18" s="148">
        <f t="shared" si="5"/>
        <v>237.56250000000003</v>
      </c>
      <c r="F18" s="148">
        <f t="shared" si="6"/>
        <v>209.99999999999994</v>
      </c>
      <c r="H18" s="148">
        <f t="shared" si="7"/>
        <v>192.5</v>
      </c>
      <c r="I18" s="148">
        <f t="shared" si="8"/>
        <v>224.87499999999991</v>
      </c>
      <c r="K18" s="148">
        <f t="shared" si="1"/>
        <v>110.38461538461539</v>
      </c>
      <c r="M18" s="148">
        <f t="shared" si="2"/>
        <v>105.40384615384616</v>
      </c>
      <c r="N18" s="148">
        <f t="shared" si="3"/>
        <v>0</v>
      </c>
      <c r="Y18" s="158"/>
      <c r="Z18" s="157" t="str">
        <f>IF(data!$W$36=TRUE,"Annie is better at bargaining"," ")</f>
        <v>Annie is better at bargaining</v>
      </c>
      <c r="AA18" s="158"/>
      <c r="AB18" s="158"/>
      <c r="AC18" s="158"/>
      <c r="AE18" s="157" t="str">
        <f>IF(data!$W$36=TRUE,"Bob is better at bargaining"," ")</f>
        <v>Bob is better at bargaining</v>
      </c>
      <c r="AF18" s="144" t="s">
        <v>125</v>
      </c>
    </row>
    <row r="19" spans="1:33" ht="15.6" x14ac:dyDescent="0.3">
      <c r="A19" s="16" t="s">
        <v>126</v>
      </c>
      <c r="B19" s="148">
        <f t="shared" si="9"/>
        <v>30</v>
      </c>
      <c r="C19" s="148">
        <f t="shared" si="4"/>
        <v>139.99999999999997</v>
      </c>
      <c r="E19" s="148">
        <f t="shared" si="5"/>
        <v>158.37500000000003</v>
      </c>
      <c r="F19" s="148">
        <f t="shared" si="6"/>
        <v>139.99999999999997</v>
      </c>
      <c r="H19" s="148">
        <f t="shared" si="7"/>
        <v>128.33333333333331</v>
      </c>
      <c r="I19" s="148">
        <f t="shared" si="8"/>
        <v>149.9166666666666</v>
      </c>
      <c r="K19" s="148">
        <f t="shared" si="1"/>
        <v>107.91666666666667</v>
      </c>
      <c r="M19" s="148">
        <f t="shared" si="2"/>
        <v>102.52083333333334</v>
      </c>
      <c r="N19" s="148">
        <f t="shared" si="3"/>
        <v>0</v>
      </c>
      <c r="Y19" s="158"/>
      <c r="Z19" s="158"/>
      <c r="AA19" s="158"/>
      <c r="AB19" s="158"/>
      <c r="AC19" s="158"/>
      <c r="AD19" s="157" t="str">
        <f>IF(data!$W$36=TRUE,"Y traded:"," ")</f>
        <v>Y traded:</v>
      </c>
      <c r="AE19" s="179">
        <f>IF(data!$W$36=TRUE,data!$W$39-data!$W$40," ")</f>
        <v>9.9749999999999943</v>
      </c>
      <c r="AF19" s="144" t="s">
        <v>125</v>
      </c>
    </row>
    <row r="20" spans="1:33" s="141" customFormat="1" ht="18.600000000000001" thickBot="1" x14ac:dyDescent="0.4">
      <c r="A20" s="140"/>
      <c r="B20" s="160">
        <f t="shared" si="9"/>
        <v>40</v>
      </c>
      <c r="C20" s="160">
        <f t="shared" si="4"/>
        <v>104.99999999999999</v>
      </c>
      <c r="D20" s="160"/>
      <c r="E20" s="160">
        <f t="shared" si="5"/>
        <v>118.78125000000001</v>
      </c>
      <c r="F20" s="160">
        <f t="shared" si="6"/>
        <v>104.99999999999999</v>
      </c>
      <c r="G20" s="160"/>
      <c r="H20" s="160">
        <f t="shared" si="7"/>
        <v>96.250000000000028</v>
      </c>
      <c r="I20" s="160">
        <f t="shared" si="8"/>
        <v>112.4375</v>
      </c>
      <c r="J20" s="160"/>
      <c r="K20" s="160">
        <f t="shared" si="1"/>
        <v>104.99999999999999</v>
      </c>
      <c r="L20" s="160"/>
      <c r="M20" s="160">
        <f t="shared" si="2"/>
        <v>99.11363636363636</v>
      </c>
      <c r="N20" s="160">
        <f t="shared" si="3"/>
        <v>0</v>
      </c>
      <c r="O20" s="160"/>
      <c r="P20" s="160"/>
      <c r="Q20" s="160"/>
      <c r="R20" s="160"/>
      <c r="S20" s="160"/>
      <c r="T20" s="160"/>
      <c r="U20" s="160"/>
      <c r="V20" s="160"/>
      <c r="W20" s="160"/>
      <c r="X20" s="160"/>
      <c r="Y20" s="163" t="str">
        <f>IF(data!$W$36=TRUE,"Graphical representation of change in utility that results from this trade."," ")</f>
        <v>Graphical representation of change in utility that results from this trade.</v>
      </c>
      <c r="Z20" s="163"/>
      <c r="AA20" s="163"/>
      <c r="AB20" s="163"/>
      <c r="AC20" s="163"/>
      <c r="AD20" s="163"/>
      <c r="AE20" s="163"/>
      <c r="AF20" s="146" t="s">
        <v>125</v>
      </c>
      <c r="AG20" s="146"/>
    </row>
    <row r="21" spans="1:33" s="5" customFormat="1" x14ac:dyDescent="0.35">
      <c r="A21" s="138" t="s">
        <v>136</v>
      </c>
      <c r="B21" s="148">
        <f t="shared" si="9"/>
        <v>50</v>
      </c>
      <c r="C21" s="148">
        <f t="shared" si="4"/>
        <v>84</v>
      </c>
      <c r="D21" s="148"/>
      <c r="E21" s="148">
        <f t="shared" si="5"/>
        <v>95.025000000000006</v>
      </c>
      <c r="F21" s="148">
        <f t="shared" si="6"/>
        <v>84</v>
      </c>
      <c r="G21" s="148"/>
      <c r="H21" s="148">
        <f t="shared" si="7"/>
        <v>77.000000000000014</v>
      </c>
      <c r="I21" s="148">
        <f t="shared" si="8"/>
        <v>89.949999999999989</v>
      </c>
      <c r="J21" s="148"/>
      <c r="K21" s="148">
        <f t="shared" si="1"/>
        <v>101.5</v>
      </c>
      <c r="L21" s="148"/>
      <c r="M21" s="148">
        <f t="shared" si="2"/>
        <v>95.025000000000006</v>
      </c>
      <c r="N21" s="148">
        <f t="shared" si="3"/>
        <v>0</v>
      </c>
      <c r="O21" s="148"/>
      <c r="P21" s="148"/>
      <c r="Q21" s="148"/>
      <c r="R21" s="148"/>
      <c r="S21" s="148"/>
      <c r="T21" s="148"/>
      <c r="U21" s="148"/>
      <c r="V21" s="148"/>
      <c r="W21" s="148"/>
      <c r="X21" s="148"/>
      <c r="Y21" s="158"/>
      <c r="Z21" s="158" t="s">
        <v>51</v>
      </c>
      <c r="AA21" s="158" t="s">
        <v>52</v>
      </c>
      <c r="AB21" s="158"/>
      <c r="AC21" s="156" t="s">
        <v>10</v>
      </c>
      <c r="AD21" s="156" t="s">
        <v>35</v>
      </c>
      <c r="AE21" s="156" t="s">
        <v>36</v>
      </c>
      <c r="AF21" s="144" t="s">
        <v>125</v>
      </c>
      <c r="AG21" s="144"/>
    </row>
    <row r="22" spans="1:33" x14ac:dyDescent="0.35">
      <c r="A22" s="139" t="s">
        <v>137</v>
      </c>
      <c r="B22" s="148">
        <f t="shared" si="9"/>
        <v>60</v>
      </c>
      <c r="C22" s="148">
        <f t="shared" si="4"/>
        <v>69.999999999999972</v>
      </c>
      <c r="E22" s="148">
        <f t="shared" si="5"/>
        <v>79.187499999999986</v>
      </c>
      <c r="F22" s="148">
        <f t="shared" si="6"/>
        <v>69.999999999999972</v>
      </c>
      <c r="H22" s="148">
        <f t="shared" si="7"/>
        <v>64.166666666666643</v>
      </c>
      <c r="I22" s="148">
        <f t="shared" si="8"/>
        <v>74.958333333333286</v>
      </c>
      <c r="K22" s="148">
        <f t="shared" si="1"/>
        <v>97.222222222222229</v>
      </c>
      <c r="M22" s="148">
        <f t="shared" si="2"/>
        <v>90.0277777777778</v>
      </c>
      <c r="N22" s="148">
        <f t="shared" si="3"/>
        <v>0</v>
      </c>
      <c r="Y22" s="158"/>
      <c r="Z22" s="158"/>
      <c r="AA22" s="158"/>
      <c r="AB22" s="155" t="s">
        <v>28</v>
      </c>
      <c r="AC22" s="156">
        <f>IF(data!$S$7=TRUE,data!$O$3," ")</f>
        <v>50</v>
      </c>
      <c r="AD22" s="173">
        <f>IF(data!$S$7=TRUE,data!$R$3," ")</f>
        <v>95.025000000000006</v>
      </c>
      <c r="AE22" s="159">
        <f>IF(data!$S$7=TRUE,IF(data!$E$10=TRUE,data!$T$3," ")," ")</f>
        <v>1.9005000000000001</v>
      </c>
      <c r="AF22" s="144" t="s">
        <v>125</v>
      </c>
    </row>
    <row r="23" spans="1:33" x14ac:dyDescent="0.35">
      <c r="A23" s="17" t="s">
        <v>144</v>
      </c>
      <c r="B23" s="148">
        <f t="shared" si="9"/>
        <v>70</v>
      </c>
      <c r="C23" s="148">
        <f t="shared" si="4"/>
        <v>59.999999999999993</v>
      </c>
      <c r="E23" s="148">
        <f t="shared" si="5"/>
        <v>67.875</v>
      </c>
      <c r="F23" s="148">
        <f t="shared" si="6"/>
        <v>59.999999999999993</v>
      </c>
      <c r="H23" s="148">
        <f t="shared" si="7"/>
        <v>55</v>
      </c>
      <c r="I23" s="148">
        <f t="shared" si="8"/>
        <v>64.249999999999986</v>
      </c>
      <c r="K23" s="148">
        <f t="shared" si="1"/>
        <v>91.875</v>
      </c>
      <c r="M23" s="148">
        <f t="shared" si="2"/>
        <v>83.781250000000028</v>
      </c>
      <c r="N23" s="148">
        <f t="shared" si="3"/>
        <v>0</v>
      </c>
      <c r="Y23" s="158"/>
      <c r="Z23" s="158"/>
      <c r="AA23" s="158"/>
      <c r="AB23" s="155" t="s">
        <v>31</v>
      </c>
      <c r="AC23" s="156">
        <f>IF(data!$T$7=TRUE,data!$O$4," ")</f>
        <v>100</v>
      </c>
      <c r="AD23" s="173">
        <f>IF(data!$T$7=TRUE,data!$R$4," ")</f>
        <v>44.974999999999994</v>
      </c>
      <c r="AE23" s="159">
        <f>IF(data!$T$7=TRUE,IF(data!$M$10=TRUE,data!$T$4," ")," ")</f>
        <v>0.44974999999999993</v>
      </c>
      <c r="AF23" s="144" t="s">
        <v>125</v>
      </c>
    </row>
    <row r="24" spans="1:33" ht="15.6" x14ac:dyDescent="0.3">
      <c r="A24" s="16" t="s">
        <v>127</v>
      </c>
      <c r="B24" s="148">
        <f t="shared" si="9"/>
        <v>80</v>
      </c>
      <c r="C24" s="148">
        <f t="shared" si="4"/>
        <v>52.499999999999986</v>
      </c>
      <c r="E24" s="148">
        <f t="shared" si="5"/>
        <v>59.390625000000007</v>
      </c>
      <c r="F24" s="148">
        <f t="shared" si="6"/>
        <v>52.499999999999986</v>
      </c>
      <c r="H24" s="148">
        <f t="shared" si="7"/>
        <v>48.125</v>
      </c>
      <c r="I24" s="148">
        <f t="shared" si="8"/>
        <v>56.218749999999979</v>
      </c>
      <c r="K24" s="148">
        <f t="shared" si="1"/>
        <v>85</v>
      </c>
      <c r="M24" s="148">
        <f t="shared" si="2"/>
        <v>75.750000000000014</v>
      </c>
      <c r="N24" s="148">
        <f t="shared" si="3"/>
        <v>0</v>
      </c>
      <c r="Y24" s="158" t="s">
        <v>57</v>
      </c>
      <c r="AA24" s="158"/>
      <c r="AB24" s="158"/>
      <c r="AC24" s="158"/>
      <c r="AD24" s="158"/>
      <c r="AE24" s="158"/>
      <c r="AF24" s="144" t="s">
        <v>125</v>
      </c>
    </row>
    <row r="25" spans="1:33" x14ac:dyDescent="0.35">
      <c r="B25" s="148">
        <f t="shared" si="9"/>
        <v>90</v>
      </c>
      <c r="C25" s="148">
        <f t="shared" si="4"/>
        <v>46.66666666666665</v>
      </c>
      <c r="E25" s="148">
        <f t="shared" si="5"/>
        <v>52.791666666666671</v>
      </c>
      <c r="F25" s="148">
        <f t="shared" si="6"/>
        <v>46.66666666666665</v>
      </c>
      <c r="H25" s="148">
        <f t="shared" si="7"/>
        <v>42.777777777777779</v>
      </c>
      <c r="I25" s="148">
        <f t="shared" si="8"/>
        <v>49.9722222222222</v>
      </c>
      <c r="K25" s="148">
        <f t="shared" si="1"/>
        <v>75.833333333333357</v>
      </c>
      <c r="M25" s="148">
        <f t="shared" si="2"/>
        <v>65.041666666666714</v>
      </c>
      <c r="N25" s="148">
        <f t="shared" si="3"/>
        <v>0</v>
      </c>
      <c r="Y25" s="157" t="s">
        <v>59</v>
      </c>
      <c r="Z25" s="158" t="str">
        <f>IF(data!$U$7=TRUE,"    Yes as long as their MRSs at the new bundle are not equal."," ")</f>
        <v xml:space="preserve"> </v>
      </c>
      <c r="AA25" s="158"/>
      <c r="AB25" s="158"/>
      <c r="AC25" s="158"/>
      <c r="AD25" s="158"/>
      <c r="AE25" s="158"/>
      <c r="AF25" s="144" t="s">
        <v>125</v>
      </c>
    </row>
    <row r="26" spans="1:33" x14ac:dyDescent="0.35">
      <c r="B26" s="148">
        <f t="shared" si="9"/>
        <v>100</v>
      </c>
      <c r="C26" s="148">
        <f t="shared" si="4"/>
        <v>42</v>
      </c>
      <c r="E26" s="148">
        <f t="shared" si="5"/>
        <v>47.512500000000017</v>
      </c>
      <c r="F26" s="148">
        <f t="shared" si="6"/>
        <v>42</v>
      </c>
      <c r="H26" s="148">
        <f t="shared" si="7"/>
        <v>38.5</v>
      </c>
      <c r="I26" s="148">
        <f t="shared" si="8"/>
        <v>44.974999999999994</v>
      </c>
      <c r="K26" s="148">
        <f t="shared" si="1"/>
        <v>62.999999999999986</v>
      </c>
      <c r="M26" s="148">
        <f t="shared" si="2"/>
        <v>50.050000000000011</v>
      </c>
      <c r="N26" s="148">
        <f t="shared" si="3"/>
        <v>0</v>
      </c>
      <c r="AF26" s="144" t="s">
        <v>125</v>
      </c>
    </row>
    <row r="27" spans="1:33" x14ac:dyDescent="0.35">
      <c r="B27" s="148">
        <f t="shared" si="9"/>
        <v>110</v>
      </c>
      <c r="C27" s="148">
        <f t="shared" si="4"/>
        <v>38.181818181818173</v>
      </c>
      <c r="E27" s="148">
        <f t="shared" si="5"/>
        <v>43.193181818181827</v>
      </c>
      <c r="F27" s="148">
        <f t="shared" si="6"/>
        <v>38.181818181818173</v>
      </c>
      <c r="H27" s="148">
        <f t="shared" si="7"/>
        <v>35.000000000000014</v>
      </c>
      <c r="I27" s="148">
        <f t="shared" si="8"/>
        <v>40.88636363636364</v>
      </c>
      <c r="K27" s="148">
        <f t="shared" si="1"/>
        <v>43.749999999999972</v>
      </c>
      <c r="M27" s="148">
        <f t="shared" si="2"/>
        <v>27.5625</v>
      </c>
      <c r="N27" s="148">
        <f t="shared" si="3"/>
        <v>0</v>
      </c>
      <c r="X27" s="154"/>
      <c r="Y27" s="155"/>
      <c r="Z27" s="156"/>
      <c r="AA27" s="157"/>
      <c r="AB27" s="153"/>
      <c r="AC27" s="153"/>
      <c r="AD27" s="153"/>
      <c r="AF27" s="144" t="s">
        <v>125</v>
      </c>
    </row>
    <row r="28" spans="1:33" x14ac:dyDescent="0.35">
      <c r="B28" s="148">
        <f t="shared" si="9"/>
        <v>120</v>
      </c>
      <c r="C28" s="148">
        <f t="shared" si="4"/>
        <v>34.999999999999993</v>
      </c>
      <c r="E28" s="148">
        <f t="shared" si="5"/>
        <v>39.593750000000007</v>
      </c>
      <c r="F28" s="148">
        <f t="shared" si="6"/>
        <v>34.999999999999993</v>
      </c>
      <c r="H28" s="148">
        <f t="shared" si="7"/>
        <v>32.083333333333329</v>
      </c>
      <c r="I28" s="148">
        <f t="shared" si="8"/>
        <v>37.47916666666665</v>
      </c>
      <c r="K28" s="148">
        <f t="shared" si="1"/>
        <v>11.666666666666686</v>
      </c>
      <c r="M28" s="148">
        <f t="shared" si="2"/>
        <v>-9.9166666666666003</v>
      </c>
      <c r="N28" s="148">
        <f t="shared" si="3"/>
        <v>0</v>
      </c>
      <c r="Y28" s="153"/>
      <c r="Z28" s="156"/>
      <c r="AA28" s="158"/>
      <c r="AB28" s="153"/>
      <c r="AD28" s="153"/>
      <c r="AF28" s="144" t="s">
        <v>125</v>
      </c>
    </row>
    <row r="29" spans="1:33" x14ac:dyDescent="0.35">
      <c r="B29" s="148">
        <f t="shared" si="9"/>
        <v>130</v>
      </c>
      <c r="C29" s="148">
        <f t="shared" si="4"/>
        <v>32.307692307692307</v>
      </c>
      <c r="E29" s="148">
        <f t="shared" si="5"/>
        <v>36.548076923076934</v>
      </c>
      <c r="F29" s="148">
        <f t="shared" si="6"/>
        <v>32.307692307692307</v>
      </c>
      <c r="H29" s="148">
        <f t="shared" si="7"/>
        <v>29.61538461538462</v>
      </c>
      <c r="I29" s="148">
        <f t="shared" si="8"/>
        <v>34.596153846153847</v>
      </c>
      <c r="K29" s="148">
        <f t="shared" si="1"/>
        <v>-52.5</v>
      </c>
      <c r="M29" s="148">
        <f t="shared" si="2"/>
        <v>-84.874999999999915</v>
      </c>
      <c r="N29" s="148">
        <f t="shared" si="3"/>
        <v>0</v>
      </c>
      <c r="Y29" s="158"/>
      <c r="Z29" s="156"/>
      <c r="AA29" s="158"/>
      <c r="AB29" s="153"/>
      <c r="AD29" s="153"/>
      <c r="AF29" s="144" t="s">
        <v>125</v>
      </c>
    </row>
    <row r="30" spans="1:33" x14ac:dyDescent="0.35">
      <c r="B30" s="148">
        <f t="shared" si="9"/>
        <v>140</v>
      </c>
      <c r="C30" s="148">
        <f t="shared" si="4"/>
        <v>29.999999999999989</v>
      </c>
      <c r="E30" s="148">
        <f t="shared" si="5"/>
        <v>33.9375</v>
      </c>
      <c r="F30" s="148">
        <f t="shared" si="6"/>
        <v>29.999999999999989</v>
      </c>
      <c r="H30" s="148">
        <f t="shared" si="7"/>
        <v>27.5</v>
      </c>
      <c r="I30" s="148">
        <f t="shared" si="8"/>
        <v>32.124999999999993</v>
      </c>
      <c r="K30" s="148">
        <f t="shared" si="1"/>
        <v>-245.00000000000011</v>
      </c>
      <c r="M30" s="148">
        <f t="shared" si="2"/>
        <v>-309.75</v>
      </c>
      <c r="N30" s="148">
        <f t="shared" si="3"/>
        <v>0</v>
      </c>
      <c r="Y30" s="158"/>
      <c r="Z30" s="156"/>
      <c r="AA30" s="158"/>
      <c r="AB30" s="153"/>
      <c r="AC30" s="153"/>
      <c r="AD30" s="153"/>
      <c r="AF30" s="144" t="s">
        <v>125</v>
      </c>
    </row>
    <row r="31" spans="1:33" x14ac:dyDescent="0.35">
      <c r="B31" s="148">
        <f>B30+$C$8/2</f>
        <v>145</v>
      </c>
      <c r="C31" s="148">
        <f t="shared" si="4"/>
        <v>28.96551724137931</v>
      </c>
      <c r="E31" s="148">
        <f t="shared" si="5"/>
        <v>32.767241379310349</v>
      </c>
      <c r="F31" s="148">
        <f t="shared" si="6"/>
        <v>28.96551724137931</v>
      </c>
      <c r="H31" s="148">
        <f t="shared" si="7"/>
        <v>26.551724137931036</v>
      </c>
      <c r="I31" s="148">
        <f t="shared" si="8"/>
        <v>31.017241379310345</v>
      </c>
      <c r="K31" s="148">
        <f t="shared" si="1"/>
        <v>-630</v>
      </c>
      <c r="M31" s="148">
        <f t="shared" si="2"/>
        <v>-759.49999999999966</v>
      </c>
      <c r="N31" s="148">
        <f t="shared" si="3"/>
        <v>0</v>
      </c>
      <c r="Y31" s="158"/>
      <c r="Z31" s="156"/>
      <c r="AA31" s="158"/>
      <c r="AB31" s="153"/>
      <c r="AC31" s="153"/>
      <c r="AD31" s="153"/>
      <c r="AF31" s="144" t="s">
        <v>125</v>
      </c>
    </row>
    <row r="32" spans="1:33" x14ac:dyDescent="0.35">
      <c r="B32" s="148">
        <f>B31+$C$8/2</f>
        <v>150</v>
      </c>
      <c r="C32" s="148">
        <f t="shared" si="4"/>
        <v>28.000000000000004</v>
      </c>
      <c r="E32" s="148">
        <f t="shared" si="5"/>
        <v>31.675000000000011</v>
      </c>
      <c r="F32" s="148">
        <f t="shared" si="6"/>
        <v>28.000000000000004</v>
      </c>
      <c r="H32" s="148">
        <f t="shared" si="7"/>
        <v>25.666666666666671</v>
      </c>
      <c r="I32" s="148">
        <f t="shared" si="8"/>
        <v>29.983333333333327</v>
      </c>
      <c r="N32" s="148">
        <f t="shared" si="3"/>
        <v>0</v>
      </c>
      <c r="Y32" s="158"/>
      <c r="Z32" s="157"/>
      <c r="AA32" s="158"/>
      <c r="AB32" s="153"/>
      <c r="AC32" s="153"/>
      <c r="AD32" s="153"/>
      <c r="AF32" s="144" t="s">
        <v>125</v>
      </c>
    </row>
    <row r="33" spans="1:33" x14ac:dyDescent="0.35">
      <c r="B33" s="148">
        <f>B32+$C$8</f>
        <v>160</v>
      </c>
      <c r="C33" s="148">
        <f t="shared" si="4"/>
        <v>26.249999999999996</v>
      </c>
      <c r="E33" s="148">
        <f t="shared" si="5"/>
        <v>29.695312500000004</v>
      </c>
      <c r="F33" s="148">
        <f t="shared" si="6"/>
        <v>26.249999999999996</v>
      </c>
      <c r="H33" s="148">
        <f t="shared" si="7"/>
        <v>24.062500000000007</v>
      </c>
      <c r="I33" s="148">
        <f t="shared" si="8"/>
        <v>28.109375</v>
      </c>
      <c r="Y33" s="158"/>
      <c r="Z33" s="156"/>
      <c r="AA33" s="158"/>
      <c r="AB33" s="153"/>
      <c r="AC33" s="153"/>
      <c r="AD33" s="153"/>
      <c r="AF33" s="144" t="s">
        <v>125</v>
      </c>
    </row>
    <row r="34" spans="1:33" x14ac:dyDescent="0.35">
      <c r="B34" s="148">
        <f>B33+$C$8</f>
        <v>170</v>
      </c>
      <c r="C34" s="148">
        <f t="shared" si="4"/>
        <v>24.705882352941163</v>
      </c>
      <c r="E34" s="148">
        <f t="shared" si="5"/>
        <v>27.948529411764703</v>
      </c>
      <c r="F34" s="148">
        <f t="shared" si="6"/>
        <v>24.705882352941163</v>
      </c>
      <c r="H34" s="148">
        <f t="shared" si="7"/>
        <v>22.647058823529409</v>
      </c>
      <c r="I34" s="148">
        <f t="shared" si="8"/>
        <v>26.455882352941163</v>
      </c>
      <c r="Y34" s="158"/>
      <c r="Z34" s="156"/>
      <c r="AA34" s="158"/>
      <c r="AB34" s="153"/>
      <c r="AC34" s="153"/>
      <c r="AD34" s="153"/>
      <c r="AF34" s="144" t="s">
        <v>125</v>
      </c>
    </row>
    <row r="35" spans="1:33" x14ac:dyDescent="0.35">
      <c r="Y35" s="158"/>
      <c r="Z35" s="157"/>
      <c r="AA35" s="153"/>
      <c r="AB35" s="155"/>
      <c r="AD35" s="153"/>
      <c r="AF35" s="144" t="s">
        <v>125</v>
      </c>
    </row>
    <row r="36" spans="1:33" x14ac:dyDescent="0.35">
      <c r="B36" s="166" t="s">
        <v>42</v>
      </c>
      <c r="C36" s="149" t="b">
        <v>1</v>
      </c>
      <c r="D36" s="148" t="s">
        <v>42</v>
      </c>
      <c r="E36" s="149" t="b">
        <v>1</v>
      </c>
      <c r="H36" s="148" t="s">
        <v>42</v>
      </c>
      <c r="I36" s="149" t="b">
        <v>1</v>
      </c>
      <c r="J36" s="148" t="s">
        <v>42</v>
      </c>
      <c r="K36" s="149" t="b">
        <v>1</v>
      </c>
      <c r="P36" s="148" t="s">
        <v>42</v>
      </c>
      <c r="Q36" s="149" t="b">
        <v>0</v>
      </c>
      <c r="R36" s="148" t="s">
        <v>42</v>
      </c>
      <c r="S36" s="149" t="b">
        <v>0</v>
      </c>
      <c r="T36" s="148" t="s">
        <v>84</v>
      </c>
      <c r="U36" s="149" t="b">
        <v>1</v>
      </c>
      <c r="V36" s="148" t="s">
        <v>84</v>
      </c>
      <c r="W36" s="149" t="b">
        <v>1</v>
      </c>
      <c r="Z36" s="153"/>
      <c r="AA36" s="158"/>
      <c r="AB36" s="156"/>
      <c r="AC36" s="156"/>
      <c r="AD36" s="156"/>
      <c r="AF36" s="144" t="s">
        <v>125</v>
      </c>
    </row>
    <row r="37" spans="1:33" s="3" customFormat="1" x14ac:dyDescent="0.35">
      <c r="A37" s="1"/>
      <c r="B37" s="151"/>
      <c r="C37" s="151">
        <f>IF(C36=TRUE,1,-100)</f>
        <v>1</v>
      </c>
      <c r="D37" s="151"/>
      <c r="E37" s="151">
        <f>IF(E36=TRUE,1,-100)</f>
        <v>1</v>
      </c>
      <c r="F37" s="151"/>
      <c r="G37" s="151"/>
      <c r="H37" s="151"/>
      <c r="I37" s="151">
        <f>IF(I36=TRUE,1,0)</f>
        <v>1</v>
      </c>
      <c r="J37" s="151"/>
      <c r="K37" s="151">
        <f>IF(K36=TRUE,1,0)</f>
        <v>1</v>
      </c>
      <c r="L37" s="151"/>
      <c r="M37" s="151"/>
      <c r="N37" s="151"/>
      <c r="O37" s="151"/>
      <c r="P37" s="151"/>
      <c r="Q37" s="151">
        <f>IF(Q36=TRUE,1,-100)</f>
        <v>-100</v>
      </c>
      <c r="R37" s="151"/>
      <c r="S37" s="151">
        <f>IF(S36=TRUE,1,-100)</f>
        <v>-100</v>
      </c>
      <c r="T37" s="151"/>
      <c r="U37" s="151">
        <f>IF(U36=TRUE,1,0)</f>
        <v>1</v>
      </c>
      <c r="V37" s="151"/>
      <c r="W37" s="151">
        <f>IF(W36=TRUE,1,-100)</f>
        <v>1</v>
      </c>
      <c r="X37" s="151"/>
      <c r="Y37" s="151"/>
      <c r="Z37" s="157"/>
      <c r="AA37" s="155"/>
      <c r="AB37" s="156"/>
      <c r="AC37" s="156"/>
      <c r="AD37" s="159"/>
      <c r="AE37" s="151"/>
      <c r="AF37" s="144" t="s">
        <v>125</v>
      </c>
      <c r="AG37" s="145"/>
    </row>
    <row r="38" spans="1:33" x14ac:dyDescent="0.35">
      <c r="B38" s="148" t="s">
        <v>10</v>
      </c>
      <c r="C38" s="148" t="s">
        <v>15</v>
      </c>
      <c r="D38" s="148" t="s">
        <v>10</v>
      </c>
      <c r="E38" s="148" t="s">
        <v>16</v>
      </c>
      <c r="H38" s="148" t="s">
        <v>10</v>
      </c>
      <c r="I38" s="148" t="s">
        <v>13</v>
      </c>
      <c r="J38" s="148" t="s">
        <v>10</v>
      </c>
      <c r="K38" s="148" t="s">
        <v>14</v>
      </c>
      <c r="P38" s="148" t="s">
        <v>10</v>
      </c>
      <c r="Q38" s="148" t="s">
        <v>18</v>
      </c>
      <c r="R38" s="148" t="s">
        <v>10</v>
      </c>
      <c r="S38" s="148" t="s">
        <v>19</v>
      </c>
      <c r="T38" s="148" t="s">
        <v>10</v>
      </c>
      <c r="U38" s="151" t="s">
        <v>43</v>
      </c>
      <c r="V38" s="148" t="s">
        <v>10</v>
      </c>
      <c r="W38" s="153" t="s">
        <v>107</v>
      </c>
      <c r="Z38" s="157"/>
      <c r="AA38" s="155"/>
      <c r="AB38" s="156"/>
      <c r="AC38" s="156"/>
      <c r="AD38" s="159"/>
      <c r="AF38" s="144" t="s">
        <v>125</v>
      </c>
    </row>
    <row r="39" spans="1:33" x14ac:dyDescent="0.35">
      <c r="B39" s="148">
        <v>0</v>
      </c>
      <c r="C39" s="148">
        <f>$C$37*($F$5+10)</f>
        <v>150</v>
      </c>
      <c r="D39" s="148">
        <f>-20</f>
        <v>-20</v>
      </c>
      <c r="E39" s="148">
        <f>$E$37*$F$5</f>
        <v>140</v>
      </c>
      <c r="H39" s="148">
        <v>0</v>
      </c>
      <c r="I39" s="148">
        <f>$I$37*$F$3</f>
        <v>105</v>
      </c>
      <c r="J39" s="148">
        <f>$E$3</f>
        <v>40</v>
      </c>
      <c r="K39" s="148">
        <f>$K$37*F5</f>
        <v>140</v>
      </c>
      <c r="P39" s="148">
        <v>0</v>
      </c>
      <c r="Q39" s="148">
        <f>IF(Q37=1,0,-100)</f>
        <v>-100</v>
      </c>
      <c r="R39" s="148">
        <f>E3</f>
        <v>40</v>
      </c>
      <c r="S39" s="148">
        <f>S37*F3</f>
        <v>-10500</v>
      </c>
      <c r="T39" s="152">
        <f>O3</f>
        <v>50</v>
      </c>
      <c r="U39" s="148">
        <f>$U$37*IF($Q$3&gt;$Q$4,$P$3,0)</f>
        <v>84</v>
      </c>
      <c r="V39" s="148">
        <f>E3</f>
        <v>40</v>
      </c>
      <c r="W39" s="153">
        <f>W37*F3</f>
        <v>105</v>
      </c>
      <c r="Z39" s="157"/>
      <c r="AA39" s="155"/>
      <c r="AB39" s="156"/>
      <c r="AC39" s="156"/>
      <c r="AD39" s="156"/>
      <c r="AF39" s="144" t="s">
        <v>125</v>
      </c>
    </row>
    <row r="40" spans="1:33" x14ac:dyDescent="0.35">
      <c r="B40" s="148">
        <v>0</v>
      </c>
      <c r="C40" s="148">
        <f>$C$37*($F$5+10)</f>
        <v>150</v>
      </c>
      <c r="D40" s="148">
        <f>$E$5</f>
        <v>150</v>
      </c>
      <c r="E40" s="148">
        <f>$E$37*$F$5</f>
        <v>140</v>
      </c>
      <c r="H40" s="148">
        <f>$E$3</f>
        <v>40</v>
      </c>
      <c r="I40" s="148">
        <f>$I$37*$F$3</f>
        <v>105</v>
      </c>
      <c r="J40" s="148">
        <f>$E$3</f>
        <v>40</v>
      </c>
      <c r="K40" s="148">
        <f>$K$37*$F$3</f>
        <v>105</v>
      </c>
      <c r="P40" s="148">
        <f>E3</f>
        <v>40</v>
      </c>
      <c r="Q40" s="148">
        <f>Q37*F3</f>
        <v>-10500</v>
      </c>
      <c r="R40" s="148">
        <f>E5</f>
        <v>150</v>
      </c>
      <c r="S40" s="148">
        <f>S37*F5</f>
        <v>-14000</v>
      </c>
      <c r="T40" s="152">
        <f>O3</f>
        <v>50</v>
      </c>
      <c r="U40" s="148">
        <f>$U$37*IF($Q$3&gt;$Q$4,$P$5-$P$4,0)</f>
        <v>101.5</v>
      </c>
      <c r="V40" s="152">
        <f>O3</f>
        <v>50</v>
      </c>
      <c r="W40" s="152">
        <f>W37*(($P$5-$P$4)*(200-$E$8)/200+$P$3*$E$8/200)</f>
        <v>95.025000000000006</v>
      </c>
      <c r="Y40" s="158"/>
      <c r="Z40" s="180"/>
      <c r="AA40" s="157"/>
      <c r="AB40" s="180"/>
      <c r="AC40" s="153"/>
      <c r="AD40" s="153"/>
      <c r="AF40" s="144" t="s">
        <v>125</v>
      </c>
    </row>
    <row r="41" spans="1:33" x14ac:dyDescent="0.35">
      <c r="B41" s="148">
        <v>0</v>
      </c>
      <c r="C41" s="148">
        <f>$C$37*($F$5+10)</f>
        <v>150</v>
      </c>
      <c r="D41" s="148">
        <f>$E$5</f>
        <v>150</v>
      </c>
      <c r="E41" s="148">
        <f>$E$37*$F$5</f>
        <v>140</v>
      </c>
      <c r="H41" s="148">
        <f>$E$3</f>
        <v>40</v>
      </c>
      <c r="I41" s="148">
        <f>$I$37*$F$3</f>
        <v>105</v>
      </c>
      <c r="J41" s="148">
        <f>$E$3</f>
        <v>40</v>
      </c>
      <c r="K41" s="148">
        <f>$K$37*$F$3</f>
        <v>105</v>
      </c>
      <c r="W41" s="152">
        <f>(($P$5-$P$4)*(200-$E$8)/200+$P$3*$E$8/200)</f>
        <v>95.025000000000006</v>
      </c>
      <c r="Z41" s="153"/>
      <c r="AC41" s="156"/>
      <c r="AF41" s="144" t="s">
        <v>125</v>
      </c>
    </row>
    <row r="42" spans="1:33" x14ac:dyDescent="0.35">
      <c r="B42" s="148">
        <v>0</v>
      </c>
      <c r="C42" s="148">
        <f>IF($C$37=1,0,-100)</f>
        <v>0</v>
      </c>
      <c r="D42" s="148">
        <f>$E$5</f>
        <v>150</v>
      </c>
      <c r="E42" s="148">
        <f>IF($E$37=-100,-100,$E$37*-20)</f>
        <v>-20</v>
      </c>
      <c r="H42" s="148">
        <f>$E$3</f>
        <v>40</v>
      </c>
      <c r="I42" s="148">
        <v>0</v>
      </c>
      <c r="J42" s="148">
        <f>$E$5</f>
        <v>150</v>
      </c>
      <c r="K42" s="148">
        <f>$K$37*$F$3</f>
        <v>105</v>
      </c>
      <c r="Y42" s="153"/>
      <c r="Z42" s="156"/>
      <c r="AA42" s="158"/>
      <c r="AB42" s="156"/>
      <c r="AC42" s="156"/>
      <c r="AD42" s="156"/>
      <c r="AF42" s="144" t="s">
        <v>125</v>
      </c>
    </row>
    <row r="43" spans="1:33" x14ac:dyDescent="0.35">
      <c r="B43" s="148">
        <v>0</v>
      </c>
      <c r="C43" s="148">
        <f>IF($C$37=1,0,-100)</f>
        <v>0</v>
      </c>
      <c r="D43" s="148">
        <f>$E$5</f>
        <v>150</v>
      </c>
      <c r="E43" s="148">
        <f>IF($E$37=-100,-100,$E$37*-20)</f>
        <v>-20</v>
      </c>
      <c r="H43" s="148">
        <f>$E$3</f>
        <v>40</v>
      </c>
      <c r="I43" s="148">
        <v>0</v>
      </c>
      <c r="J43" s="148">
        <f>$E$5</f>
        <v>150</v>
      </c>
      <c r="K43" s="148">
        <f>$K$37*$F$3</f>
        <v>105</v>
      </c>
      <c r="Z43" s="157"/>
      <c r="AB43" s="173"/>
      <c r="AC43" s="173"/>
      <c r="AD43" s="159"/>
      <c r="AF43" s="144" t="s">
        <v>125</v>
      </c>
    </row>
    <row r="44" spans="1:33" x14ac:dyDescent="0.35">
      <c r="B44" s="148">
        <f>$E$5+10</f>
        <v>160</v>
      </c>
      <c r="C44" s="148">
        <f>IF($C$37=1,0,-100)</f>
        <v>0</v>
      </c>
      <c r="Y44" s="153"/>
      <c r="Z44" s="157"/>
      <c r="AB44" s="173"/>
      <c r="AC44" s="173"/>
      <c r="AD44" s="159"/>
      <c r="AF44" s="144" t="s">
        <v>125</v>
      </c>
    </row>
    <row r="45" spans="1:33" x14ac:dyDescent="0.35">
      <c r="B45" s="148">
        <f>$E$5+10</f>
        <v>160</v>
      </c>
      <c r="C45" s="148">
        <f>IF($C$37=1,0,-100)</f>
        <v>0</v>
      </c>
      <c r="Y45" s="153"/>
      <c r="Z45" s="157"/>
      <c r="AA45" s="157"/>
      <c r="AB45" s="173"/>
      <c r="AC45" s="173"/>
      <c r="AD45" s="156"/>
      <c r="AF45" s="144" t="s">
        <v>125</v>
      </c>
    </row>
    <row r="46" spans="1:33" x14ac:dyDescent="0.35">
      <c r="Y46" s="153"/>
      <c r="Z46" s="157"/>
      <c r="AA46" s="157"/>
      <c r="AB46" s="173"/>
      <c r="AC46" s="173"/>
      <c r="AD46" s="151"/>
      <c r="AF46" s="144" t="s">
        <v>125</v>
      </c>
    </row>
    <row r="47" spans="1:33" x14ac:dyDescent="0.35">
      <c r="AF47" s="144" t="s">
        <v>125</v>
      </c>
    </row>
    <row r="48" spans="1:33" x14ac:dyDescent="0.35">
      <c r="V48" s="151"/>
      <c r="W48" s="151"/>
      <c r="AF48" s="144" t="s">
        <v>125</v>
      </c>
    </row>
    <row r="49" spans="2:32" x14ac:dyDescent="0.35">
      <c r="N49" s="151"/>
      <c r="O49" s="151"/>
      <c r="P49" s="151"/>
      <c r="Q49" s="151"/>
      <c r="R49" s="151"/>
      <c r="S49" s="151"/>
      <c r="T49" s="151"/>
      <c r="U49" s="151"/>
      <c r="V49" s="151"/>
      <c r="W49" s="151"/>
      <c r="X49" s="151"/>
      <c r="AF49" s="144" t="s">
        <v>125</v>
      </c>
    </row>
    <row r="50" spans="2:32" x14ac:dyDescent="0.35">
      <c r="V50" s="148" t="s">
        <v>10</v>
      </c>
      <c r="W50" s="148" t="s">
        <v>109</v>
      </c>
      <c r="AF50" s="144" t="s">
        <v>125</v>
      </c>
    </row>
    <row r="51" spans="2:32" x14ac:dyDescent="0.35">
      <c r="V51" s="148">
        <v>-20</v>
      </c>
      <c r="W51" s="148">
        <v>0</v>
      </c>
      <c r="AF51" s="144" t="s">
        <v>125</v>
      </c>
    </row>
    <row r="52" spans="2:32" x14ac:dyDescent="0.35">
      <c r="V52" s="148">
        <f>IF(C37=0,E5+20,0)</f>
        <v>0</v>
      </c>
      <c r="W52" s="148">
        <v>0</v>
      </c>
      <c r="AF52" s="144" t="s">
        <v>125</v>
      </c>
    </row>
    <row r="53" spans="2:32" x14ac:dyDescent="0.35">
      <c r="AF53" s="144" t="s">
        <v>125</v>
      </c>
    </row>
    <row r="54" spans="2:32" x14ac:dyDescent="0.35">
      <c r="W54" s="148" t="s">
        <v>108</v>
      </c>
      <c r="AF54" s="144" t="s">
        <v>125</v>
      </c>
    </row>
    <row r="55" spans="2:32" x14ac:dyDescent="0.35">
      <c r="V55" s="148" t="s">
        <v>10</v>
      </c>
      <c r="AF55" s="144" t="s">
        <v>125</v>
      </c>
    </row>
    <row r="56" spans="2:32" x14ac:dyDescent="0.35">
      <c r="V56" s="148">
        <v>-20</v>
      </c>
      <c r="W56" s="148">
        <v>0</v>
      </c>
      <c r="AF56" s="144" t="s">
        <v>125</v>
      </c>
    </row>
    <row r="57" spans="2:32" x14ac:dyDescent="0.35">
      <c r="V57" s="148">
        <f>E5+20</f>
        <v>170</v>
      </c>
      <c r="W57" s="148">
        <v>0</v>
      </c>
      <c r="AF57" s="144" t="s">
        <v>125</v>
      </c>
    </row>
    <row r="58" spans="2:32" x14ac:dyDescent="0.35">
      <c r="AF58" s="144" t="s">
        <v>125</v>
      </c>
    </row>
    <row r="59" spans="2:32" x14ac:dyDescent="0.35">
      <c r="AF59" s="144" t="s">
        <v>125</v>
      </c>
    </row>
    <row r="60" spans="2:32" x14ac:dyDescent="0.35">
      <c r="B60" s="151"/>
      <c r="C60" s="151"/>
      <c r="D60" s="151"/>
      <c r="E60" s="151"/>
      <c r="AF60" s="144" t="s">
        <v>125</v>
      </c>
    </row>
    <row r="61" spans="2:32" x14ac:dyDescent="0.35">
      <c r="C61" s="151"/>
      <c r="E61" s="153"/>
      <c r="AF61" s="144" t="s">
        <v>125</v>
      </c>
    </row>
    <row r="62" spans="2:32" x14ac:dyDescent="0.35">
      <c r="B62" s="152"/>
      <c r="D62" s="152"/>
      <c r="E62" s="153"/>
      <c r="AF62" s="144" t="s">
        <v>125</v>
      </c>
    </row>
    <row r="63" spans="2:32" x14ac:dyDescent="0.35">
      <c r="B63" s="152"/>
      <c r="D63" s="152"/>
      <c r="E63" s="152"/>
      <c r="AF63" s="144" t="s">
        <v>125</v>
      </c>
    </row>
    <row r="64" spans="2:32" x14ac:dyDescent="0.35">
      <c r="AF64" s="144" t="s">
        <v>125</v>
      </c>
    </row>
    <row r="65" spans="32:32" x14ac:dyDescent="0.35">
      <c r="AF65" s="144" t="s">
        <v>125</v>
      </c>
    </row>
    <row r="66" spans="32:32" x14ac:dyDescent="0.35">
      <c r="AF66" s="144" t="s">
        <v>125</v>
      </c>
    </row>
    <row r="67" spans="32:32" x14ac:dyDescent="0.35">
      <c r="AF67" s="144" t="s">
        <v>125</v>
      </c>
    </row>
    <row r="68" spans="32:32" x14ac:dyDescent="0.35">
      <c r="AF68" s="144" t="s">
        <v>125</v>
      </c>
    </row>
    <row r="69" spans="32:32" x14ac:dyDescent="0.35">
      <c r="AF69" s="144" t="s">
        <v>125</v>
      </c>
    </row>
    <row r="70" spans="32:32" x14ac:dyDescent="0.35">
      <c r="AF70" s="144" t="s">
        <v>125</v>
      </c>
    </row>
    <row r="71" spans="32:32" x14ac:dyDescent="0.35">
      <c r="AF71" s="144" t="s">
        <v>125</v>
      </c>
    </row>
    <row r="72" spans="32:32" x14ac:dyDescent="0.35">
      <c r="AF72" s="144" t="s">
        <v>125</v>
      </c>
    </row>
    <row r="73" spans="32:32" x14ac:dyDescent="0.35">
      <c r="AF73" s="144" t="s">
        <v>125</v>
      </c>
    </row>
    <row r="74" spans="32:32" x14ac:dyDescent="0.35">
      <c r="AF74" s="144" t="s">
        <v>125</v>
      </c>
    </row>
    <row r="75" spans="32:32" x14ac:dyDescent="0.35">
      <c r="AF75" s="144" t="s">
        <v>125</v>
      </c>
    </row>
    <row r="76" spans="32:32" x14ac:dyDescent="0.35">
      <c r="AF76" s="144" t="s">
        <v>125</v>
      </c>
    </row>
    <row r="77" spans="32:32" x14ac:dyDescent="0.35">
      <c r="AF77" s="144" t="s">
        <v>125</v>
      </c>
    </row>
    <row r="78" spans="32:32" x14ac:dyDescent="0.35">
      <c r="AF78" s="144" t="s">
        <v>125</v>
      </c>
    </row>
    <row r="79" spans="32:32" x14ac:dyDescent="0.35">
      <c r="AF79" s="144" t="s">
        <v>125</v>
      </c>
    </row>
    <row r="80" spans="32:32" x14ac:dyDescent="0.35">
      <c r="AF80" s="144" t="s">
        <v>125</v>
      </c>
    </row>
    <row r="81" spans="32:32" x14ac:dyDescent="0.35">
      <c r="AF81" s="144" t="s">
        <v>125</v>
      </c>
    </row>
    <row r="82" spans="32:32" x14ac:dyDescent="0.35">
      <c r="AF82" s="144" t="s">
        <v>125</v>
      </c>
    </row>
    <row r="83" spans="32:32" x14ac:dyDescent="0.35">
      <c r="AF83" s="144" t="s">
        <v>125</v>
      </c>
    </row>
    <row r="84" spans="32:32" x14ac:dyDescent="0.35">
      <c r="AF84" s="144" t="s">
        <v>125</v>
      </c>
    </row>
    <row r="85" spans="32:32" x14ac:dyDescent="0.35">
      <c r="AF85" s="144" t="s">
        <v>125</v>
      </c>
    </row>
    <row r="86" spans="32:32" x14ac:dyDescent="0.35">
      <c r="AF86" s="144" t="s">
        <v>125</v>
      </c>
    </row>
    <row r="87" spans="32:32" x14ac:dyDescent="0.35">
      <c r="AF87" s="144" t="s">
        <v>125</v>
      </c>
    </row>
    <row r="88" spans="32:32" x14ac:dyDescent="0.35">
      <c r="AF88" s="144" t="s">
        <v>125</v>
      </c>
    </row>
    <row r="89" spans="32:32" x14ac:dyDescent="0.35">
      <c r="AF89" s="144" t="s">
        <v>125</v>
      </c>
    </row>
    <row r="90" spans="32:32" x14ac:dyDescent="0.35">
      <c r="AF90" s="144" t="s">
        <v>125</v>
      </c>
    </row>
    <row r="91" spans="32:32" x14ac:dyDescent="0.35">
      <c r="AF91" s="144" t="s">
        <v>125</v>
      </c>
    </row>
    <row r="92" spans="32:32" x14ac:dyDescent="0.35">
      <c r="AF92" s="144" t="s">
        <v>125</v>
      </c>
    </row>
    <row r="93" spans="32:32" x14ac:dyDescent="0.35">
      <c r="AF93" s="144" t="s">
        <v>125</v>
      </c>
    </row>
    <row r="94" spans="32:32" x14ac:dyDescent="0.35">
      <c r="AF94" s="144" t="s">
        <v>125</v>
      </c>
    </row>
    <row r="95" spans="32:32" x14ac:dyDescent="0.35">
      <c r="AF95" s="144" t="s">
        <v>125</v>
      </c>
    </row>
    <row r="96" spans="32:32" x14ac:dyDescent="0.35">
      <c r="AF96" s="144" t="s">
        <v>125</v>
      </c>
    </row>
    <row r="97" spans="32:32" x14ac:dyDescent="0.35">
      <c r="AF97" s="144" t="s">
        <v>125</v>
      </c>
    </row>
    <row r="98" spans="32:32" x14ac:dyDescent="0.35">
      <c r="AF98" s="144" t="s">
        <v>125</v>
      </c>
    </row>
    <row r="99" spans="32:32" x14ac:dyDescent="0.35">
      <c r="AF99" s="144" t="s">
        <v>125</v>
      </c>
    </row>
    <row r="100" spans="32:32" x14ac:dyDescent="0.35">
      <c r="AF100" s="144" t="s">
        <v>125</v>
      </c>
    </row>
    <row r="101" spans="32:32" x14ac:dyDescent="0.35">
      <c r="AF101" s="144" t="s">
        <v>125</v>
      </c>
    </row>
  </sheetData>
  <scenarios current="5" show="5">
    <scenario name="15" locked="1" count="30" user="Stephen Erfle" comment="Created by Stephen Erfle on 1/25/2004">
      <inputCells r="D3" val="TRUE"/>
      <inputCells r="D4" val="TRUE"/>
      <inputCells r="D5" val="TRUE"/>
      <inputCells r="E7" val="400"/>
      <inputCells r="E8" val="100"/>
      <inputCells r="C10" val="FALSE"/>
      <inputCells r="E10" val="FALSE"/>
      <inputCells r="F10" val="TRUE"/>
      <inputCells r="H10" val="TRUE"/>
      <inputCells r="I10" val="FALSE"/>
      <inputCells r="K10" val="FALSE"/>
      <inputCells r="M10" val="FALSE"/>
      <inputCells r="N10" val="FALSE"/>
      <inputCells r="O7" val="FALSE"/>
      <inputCells r="O7" val="FALSE"/>
      <inputCells r="P7" val="FALSE"/>
      <inputCells r="Q7" val="FALSE"/>
      <inputCells r="R7" val="FALSE"/>
      <inputCells r="S7" val="FALSE"/>
      <inputCells r="T7" val="FALSE"/>
      <inputCells r="U7" val="FALSE"/>
      <inputCells r="V7" val="Figure 15"/>
      <inputCells r="C36" val="FALSE"/>
      <inputCells r="E36" val="FALSE"/>
      <inputCells r="I36" val="FALSE"/>
      <inputCells r="K36" val="FALSE"/>
      <inputCells r="Q36" val="FALSE"/>
      <inputCells r="S36" val="FALSE"/>
      <inputCells r="U36" val="FALSE"/>
      <inputCells r="W36" val="FALSE"/>
    </scenario>
    <scenario name="16" locked="1" count="30" user="Stephen Erfle" comment="Created by Stephen Erfle on 1/25/2004_x000a_Modified by Stephen Erfle on 1/25/2004">
      <inputCells r="D3" val="TRUE"/>
      <inputCells r="D4" val="TRUE"/>
      <inputCells r="D5" val="TRUE"/>
      <inputCells r="E7" val="500"/>
      <inputCells r="E8" val="74"/>
      <inputCells r="C10" val="FALSE"/>
      <inputCells r="E10" val="FALSE"/>
      <inputCells r="F10" val="TRUE"/>
      <inputCells r="H10" val="TRUE"/>
      <inputCells r="I10" val="FALSE"/>
      <inputCells r="K10" val="FALSE"/>
      <inputCells r="M10" val="FALSE"/>
      <inputCells r="N10" val="FALSE"/>
      <inputCells r="O7" val="FALSE"/>
      <inputCells r="O7" val="FALSE"/>
      <inputCells r="P7" val="FALSE"/>
      <inputCells r="Q7" val="FALSE"/>
      <inputCells r="R7" val="FALSE"/>
      <inputCells r="S7" val="TRUE"/>
      <inputCells r="T7" val="TRUE"/>
      <inputCells r="U7" val="FALSE"/>
      <inputCells r="V7" val="Figure 16"/>
      <inputCells r="C36" val="FALSE"/>
      <inputCells r="E36" val="FALSE"/>
      <inputCells r="I36" val="FALSE"/>
      <inputCells r="K36" val="FALSE"/>
      <inputCells r="Q36" val="FALSE"/>
      <inputCells r="S36" val="FALSE"/>
      <inputCells r="U36" val="TRUE"/>
      <inputCells r="W36" val="TRUE"/>
    </scenario>
    <scenario name="17" locked="1" count="30" user="Stephen Erfle" comment="Created by Stephen Erfle on 1/25/2004_x000a_Modified by Stephen Erfle on 1/25/2004">
      <inputCells r="D3" val="TRUE"/>
      <inputCells r="D4" val="TRUE"/>
      <inputCells r="D5" val="TRUE"/>
      <inputCells r="E7" val="750"/>
      <inputCells r="E8" val="114"/>
      <inputCells r="C10" val="FALSE"/>
      <inputCells r="E10" val="TRUE"/>
      <inputCells r="F10" val="TRUE"/>
      <inputCells r="H10" val="TRUE"/>
      <inputCells r="I10" val="TRUE"/>
      <inputCells r="K10" val="FALSE"/>
      <inputCells r="M10" val="FALSE"/>
      <inputCells r="N10" val="FALSE"/>
      <inputCells r="O7" val="FALSE"/>
      <inputCells r="O7" val="FALSE"/>
      <inputCells r="P7" val="FALSE"/>
      <inputCells r="Q7" val="FALSE"/>
      <inputCells r="R7" val="FALSE"/>
      <inputCells r="S7" val="TRUE"/>
      <inputCells r="T7" val="TRUE"/>
      <inputCells r="U7" val="FALSE"/>
      <inputCells r="V7" val="Figure 17"/>
      <inputCells r="C36" val="FALSE"/>
      <inputCells r="E36" val="FALSE"/>
      <inputCells r="I36" val="FALSE"/>
      <inputCells r="K36" val="FALSE"/>
      <inputCells r="Q36" val="FALSE"/>
      <inputCells r="S36" val="FALSE"/>
      <inputCells r="U36" val="TRUE"/>
      <inputCells r="W36" val="TRUE"/>
    </scenario>
    <scenario name="18A-C" locked="1" count="30" user="Stephen Erfle" comment="Created by Stephen Erfle on 1/25/2004_x000a_Modified by Stephen Erfle on 1/25/2004">
      <inputCells r="D3" val="TRUE"/>
      <inputCells r="D4" val="TRUE"/>
      <inputCells r="D5" val="TRUE"/>
      <inputCells r="E7" val="750"/>
      <inputCells r="E8" val="114"/>
      <inputCells r="C10" val="FALSE"/>
      <inputCells r="E10" val="TRUE"/>
      <inputCells r="F10" val="TRUE"/>
      <inputCells r="H10" val="TRUE"/>
      <inputCells r="I10" val="TRUE"/>
      <inputCells r="K10" val="FALSE"/>
      <inputCells r="M10" val="FALSE"/>
      <inputCells r="N10" val="FALSE"/>
      <inputCells r="O7" val="FALSE"/>
      <inputCells r="O7" val="FALSE"/>
      <inputCells r="P7" val="FALSE"/>
      <inputCells r="Q7" val="FALSE"/>
      <inputCells r="R7" val="FALSE"/>
      <inputCells r="S7" val="TRUE"/>
      <inputCells r="T7" val="TRUE"/>
      <inputCells r="U7" val="FALSE"/>
      <inputCells r="V7" val=" "/>
      <inputCells r="C36" val="TRUE"/>
      <inputCells r="E36" val="TRUE"/>
      <inputCells r="I36" val="FALSE"/>
      <inputCells r="K36" val="FALSE"/>
      <inputCells r="Q36" val="FALSE"/>
      <inputCells r="S36" val="FALSE"/>
      <inputCells r="U36" val="TRUE"/>
      <inputCells r="W36" val="TRUE"/>
    </scenario>
    <scenario name="19A" locked="1" count="29" user="Stephen Erfle" comment="Created by Stephen Erfle on 1/25/2004_x000a_Modified by Stephen Erfle on 1/25/2004">
      <inputCells r="D3" val="TRUE"/>
      <inputCells r="D4" val="TRUE"/>
      <inputCells r="D5" val="TRUE"/>
      <inputCells r="E7" val="500"/>
      <inputCells r="E8" val="74"/>
      <inputCells r="C10" val="TRUE"/>
      <inputCells r="E10" val="FALSE"/>
      <inputCells r="F10" val="TRUE"/>
      <inputCells r="H10" val="TRUE"/>
      <inputCells r="I10" val="FALSE"/>
      <inputCells r="K10" val="TRUE"/>
      <inputCells r="M10" val="FALSE"/>
      <inputCells r="N10" val="FALSE"/>
      <inputCells r="O7" val="TRUE"/>
      <inputCells r="P7" val="TRUE"/>
      <inputCells r="Q7" val="TRUE"/>
      <inputCells r="R7" val="TRUE"/>
      <inputCells r="S7" val="TRUE"/>
      <inputCells r="T7" val="TRUE"/>
      <inputCells r="U7" val="FALSE"/>
      <inputCells r="V7" val=" "/>
      <inputCells r="C36" val="TRUE"/>
      <inputCells r="E36" val="TRUE"/>
      <inputCells r="I36" val="TRUE"/>
      <inputCells r="K36" val="TRUE"/>
      <inputCells r="Q36" val="FALSE"/>
      <inputCells r="S36" val="FALSE"/>
      <inputCells r="U36" val="TRUE"/>
      <inputCells r="W36" val="TRUE"/>
    </scenario>
    <scenario name="19B" locked="1" count="30" user="Stephen Erfle" comment="Created by Stephen Erfle on 1/25/2004_x000a_Modified by Stephen Erfle on 1/25/2004">
      <inputCells r="D3" val="TRUE"/>
      <inputCells r="D4" val="TRUE"/>
      <inputCells r="D5" val="TRUE"/>
      <inputCells r="E7" val="500"/>
      <inputCells r="E8" val="74"/>
      <inputCells r="C10" val="TRUE"/>
      <inputCells r="E10" val="TRUE"/>
      <inputCells r="F10" val="TRUE"/>
      <inputCells r="H10" val="TRUE"/>
      <inputCells r="I10" val="TRUE"/>
      <inputCells r="K10" val="TRUE"/>
      <inputCells r="M10" val="TRUE"/>
      <inputCells r="N10" val="FALSE"/>
      <inputCells r="O7" val="TRUE"/>
      <inputCells r="O7" val="TRUE"/>
      <inputCells r="P7" val="TRUE"/>
      <inputCells r="Q7" val="TRUE"/>
      <inputCells r="R7" val="TRUE"/>
      <inputCells r="S7" val="TRUE"/>
      <inputCells r="T7" val="TRUE"/>
      <inputCells r="U7" val="FALSE"/>
      <inputCells r="V7" val=" "/>
      <inputCells r="C36" val="TRUE"/>
      <inputCells r="E36" val="TRUE"/>
      <inputCells r="I36" val="TRUE"/>
      <inputCells r="K36" val="TRUE"/>
      <inputCells r="Q36" val="FALSE"/>
      <inputCells r="S36" val="FALSE"/>
      <inputCells r="U36" val="TRUE"/>
      <inputCells r="W36" val="TRUE"/>
    </scenario>
    <scenario name="20A" locked="1" count="30" user="Stephen Erfle" comment="Created by Stephen Erfle on 1/25/2004_x000a_Modified by Stephen Erfle on 1/25/2004">
      <inputCells r="D3" val="TRUE"/>
      <inputCells r="D4" val="TRUE"/>
      <inputCells r="D5" val="TRUE"/>
      <inputCells r="E7" val="750"/>
      <inputCells r="E8" val="114"/>
      <inputCells r="C10" val="TRUE"/>
      <inputCells r="E10" val="TRUE"/>
      <inputCells r="F10" val="TRUE"/>
      <inputCells r="H10" val="TRUE"/>
      <inputCells r="I10" val="TRUE"/>
      <inputCells r="K10" val="TRUE"/>
      <inputCells r="M10" val="TRUE"/>
      <inputCells r="N10" val="FALSE"/>
      <inputCells r="O7" val="TRUE"/>
      <inputCells r="O7" val="TRUE"/>
      <inputCells r="P7" val="TRUE"/>
      <inputCells r="Q7" val="TRUE"/>
      <inputCells r="R7" val="TRUE"/>
      <inputCells r="S7" val="TRUE"/>
      <inputCells r="T7" val="TRUE"/>
      <inputCells r="U7" val="FALSE"/>
      <inputCells r="V7" val=" "/>
      <inputCells r="C36" val="TRUE"/>
      <inputCells r="E36" val="TRUE"/>
      <inputCells r="I36" val="TRUE"/>
      <inputCells r="K36" val="TRUE"/>
      <inputCells r="Q36" val="FALSE"/>
      <inputCells r="S36" val="FALSE"/>
      <inputCells r="U36" val="TRUE"/>
      <inputCells r="W36" val="TRUE"/>
    </scenario>
    <scenario name="20B" locked="1" count="30" user="Stephen Erfle" comment="Created by Stephen Erfle on 1/25/2004_x000a_Modified by Stephen Erfle on 1/25/2004">
      <inputCells r="D3" val="TRUE"/>
      <inputCells r="D4" val="TRUE"/>
      <inputCells r="D5" val="TRUE"/>
      <inputCells r="E7" val="750"/>
      <inputCells r="E8" val="114"/>
      <inputCells r="C10" val="TRUE"/>
      <inputCells r="E10" val="TRUE"/>
      <inputCells r="F10" val="TRUE"/>
      <inputCells r="H10" val="TRUE"/>
      <inputCells r="I10" val="TRUE"/>
      <inputCells r="K10" val="TRUE"/>
      <inputCells r="M10" val="TRUE"/>
      <inputCells r="N10" val="TRUE"/>
      <inputCells r="O7" val="TRUE"/>
      <inputCells r="O7" val="TRUE"/>
      <inputCells r="P7" val="TRUE"/>
      <inputCells r="Q7" val="TRUE"/>
      <inputCells r="R7" val="TRUE"/>
      <inputCells r="S7" val="TRUE"/>
      <inputCells r="T7" val="TRUE"/>
      <inputCells r="U7" val="FALSE"/>
      <inputCells r="V7" val=" "/>
      <inputCells r="C36" val="TRUE"/>
      <inputCells r="E36" val="TRUE"/>
      <inputCells r="I36" val="TRUE"/>
      <inputCells r="K36" val="TRUE"/>
      <inputCells r="Q36" val="FALSE"/>
      <inputCells r="S36" val="FALSE"/>
      <inputCells r="U36" val="TRUE"/>
      <inputCells r="W36" val="TRUE"/>
    </scenario>
  </scenarios>
  <mergeCells count="2">
    <mergeCell ref="A1:A2"/>
    <mergeCell ref="A7:A9"/>
  </mergeCells>
  <phoneticPr fontId="0" type="noConversion"/>
  <hyperlinks>
    <hyperlink ref="A14" location="'15-17,2GraphBarter'!A1" display="click here to go to the two graph worksheet"/>
    <hyperlink ref="A19" location="'18allocations'!A1" display="click here to go to the allocations worksheet"/>
    <hyperlink ref="A24" location="'19-20,EdgeBarter'!A1" display="click here to go to the Edgeworth box worksheet"/>
  </hyperlinks>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15-17,2GraphBarter</vt:lpstr>
      <vt:lpstr>18allocations</vt:lpstr>
      <vt:lpstr>19-20,EdgeBarter</vt:lpstr>
      <vt:lpstr>data</vt:lpstr>
    </vt:vector>
  </TitlesOfParts>
  <Company>Dickinson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Erfle</dc:creator>
  <cp:lastModifiedBy>Owner</cp:lastModifiedBy>
  <dcterms:created xsi:type="dcterms:W3CDTF">2003-04-14T20:06:00Z</dcterms:created>
  <dcterms:modified xsi:type="dcterms:W3CDTF">2016-02-01T21:36:22Z</dcterms:modified>
</cp:coreProperties>
</file>